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updateLinks="never" codeName="ThisWorkbook" defaultThemeVersion="124226"/>
  <mc:AlternateContent xmlns:mc="http://schemas.openxmlformats.org/markup-compatibility/2006">
    <mc:Choice Requires="x15">
      <x15ac:absPath xmlns:x15ac="http://schemas.microsoft.com/office/spreadsheetml/2010/11/ac" url="M:\Mine Closure NEW\Financial Assurance\Bonds\Bond Calculator\Current SA Rehabilitation Liability Calculator\"/>
    </mc:Choice>
  </mc:AlternateContent>
  <xr:revisionPtr revIDLastSave="0" documentId="13_ncr:1_{5762B202-CD08-4DB4-B15D-32C3660F4D04}" xr6:coauthVersionLast="47" xr6:coauthVersionMax="47" xr10:uidLastSave="{00000000-0000-0000-0000-000000000000}"/>
  <bookViews>
    <workbookView xWindow="-120" yWindow="-120" windowWidth="29040" windowHeight="15840" tabRatio="597" xr2:uid="{00000000-000D-0000-FFFF-FFFF00000000}"/>
  </bookViews>
  <sheets>
    <sheet name="Cover Sheet" sheetId="8" r:id="rId1"/>
    <sheet name="Version Control" sheetId="14" r:id="rId2"/>
    <sheet name="Input Page" sheetId="5" r:id="rId3"/>
    <sheet name="Distance Sheet" sheetId="7" r:id="rId4"/>
    <sheet name="Activities" sheetId="1" r:id="rId5"/>
    <sheet name="Summary Page" sheetId="6" r:id="rId6"/>
    <sheet name="PC 1 Exploration" sheetId="62" r:id="rId7"/>
    <sheet name="Exploration Calculations" sheetId="65" r:id="rId8"/>
    <sheet name="PC 2 Underground Workings" sheetId="33" r:id="rId9"/>
    <sheet name="PC 3 Open Cut Pit 1" sheetId="4" r:id="rId10"/>
    <sheet name="PC 3 Open Cut Pit 2" sheetId="34" r:id="rId11"/>
    <sheet name="PC 3 Open Cut Pit 3" sheetId="35" r:id="rId12"/>
    <sheet name="PC 4 Waste Dumps 1" sheetId="3" r:id="rId13"/>
    <sheet name="PC 4 Waste Dumps 2" sheetId="36" r:id="rId14"/>
    <sheet name="PC 4 Waste Dumps 3" sheetId="37" r:id="rId15"/>
    <sheet name="PC 5 Processing Facilities" sheetId="10" r:id="rId16"/>
    <sheet name="PC 6 Tailings Storage 1" sheetId="2" r:id="rId17"/>
    <sheet name="PC 6 Tailings Storage 2" sheetId="38" r:id="rId18"/>
    <sheet name="PC 6 Tailings Storage 3" sheetId="39" r:id="rId19"/>
    <sheet name="PC 7 Heap Leach Facilities 1" sheetId="28" r:id="rId20"/>
    <sheet name="PC 7 Heap Leach Facilities  2" sheetId="40" r:id="rId21"/>
    <sheet name="PC 8 Rail Facilities" sheetId="53" r:id="rId22"/>
    <sheet name="PC 9 Haul and Access Roads" sheetId="11" r:id="rId23"/>
    <sheet name="PC 10 Admin and Accommodation" sheetId="12" r:id="rId24"/>
    <sheet name="PC 11 Ancillary Areas " sheetId="41" r:id="rId25"/>
    <sheet name="PC 12 Borrow Pits" sheetId="54" r:id="rId26"/>
    <sheet name="PC 13 Services Infrastructure 1" sheetId="15" r:id="rId27"/>
    <sheet name="PC 13 Services Infrastructure 2" sheetId="42" r:id="rId28"/>
    <sheet name="PC 13 Services Infrastructure 3" sheetId="44" r:id="rId29"/>
    <sheet name="PC 14 Water Management" sheetId="22" r:id="rId30"/>
    <sheet name="PC 16 Equipment Mob &amp; Demob" sheetId="55" r:id="rId31"/>
    <sheet name="PC 17 Monitoring and Other Cost" sheetId="9" r:id="rId32"/>
    <sheet name="Calculations" sheetId="56" r:id="rId33"/>
    <sheet name="Mob &amp; Demob Equipment List" sheetId="57" r:id="rId34"/>
    <sheet name="Exploration Calc Explanation" sheetId="66" r:id="rId35"/>
    <sheet name="EARF" sheetId="58" state="hidden" r:id="rId36"/>
  </sheets>
  <externalReferences>
    <externalReference r:id="rId37"/>
    <externalReference r:id="rId38"/>
    <externalReference r:id="rId39"/>
    <externalReference r:id="rId40"/>
    <externalReference r:id="rId41"/>
  </externalReferences>
  <definedNames>
    <definedName name="_xlnm.Print_Area" localSheetId="2">'Input Page'!$A$1:$J$71</definedName>
    <definedName name="_xlnm.Print_Area" localSheetId="6">'PC 1 Exploration'!$A$1:$M$84</definedName>
    <definedName name="_xlnm.Print_Area" localSheetId="23">'PC 10 Admin and Accommodation'!$A$1:$M$59</definedName>
    <definedName name="_xlnm.Print_Area" localSheetId="24">'PC 11 Ancillary Areas '!$A$1:$M$66</definedName>
    <definedName name="_xlnm.Print_Area" localSheetId="25">'PC 12 Borrow Pits'!$A$1:$M$54</definedName>
    <definedName name="_xlnm.Print_Area" localSheetId="26">'PC 13 Services Infrastructure 1'!$A$1:$M$57</definedName>
    <definedName name="_xlnm.Print_Area" localSheetId="27">'PC 13 Services Infrastructure 2'!$A$1:$M$57</definedName>
    <definedName name="_xlnm.Print_Area" localSheetId="28">'PC 13 Services Infrastructure 3'!$A$1:$M$57</definedName>
    <definedName name="_xlnm.Print_Area" localSheetId="29">'PC 14 Water Management'!$A$1:$M$62</definedName>
    <definedName name="_xlnm.Print_Area" localSheetId="30">'PC 16 Equipment Mob &amp; Demob'!$A$1:$M$35</definedName>
    <definedName name="_xlnm.Print_Area" localSheetId="31">'PC 17 Monitoring and Other Cost'!$A$1:$K$26</definedName>
    <definedName name="_xlnm.Print_Area" localSheetId="8">'PC 2 Underground Workings'!$A$1:$M$59</definedName>
    <definedName name="_xlnm.Print_Area" localSheetId="9">'PC 3 Open Cut Pit 1'!$A$1:$M$57</definedName>
    <definedName name="_xlnm.Print_Area" localSheetId="10">'PC 3 Open Cut Pit 2'!$A$1:$M$57</definedName>
    <definedName name="_xlnm.Print_Area" localSheetId="11">'PC 3 Open Cut Pit 3'!$A$1:$M$57</definedName>
    <definedName name="_xlnm.Print_Area" localSheetId="12">'PC 4 Waste Dumps 1'!$A$1:$M$53</definedName>
    <definedName name="_xlnm.Print_Area" localSheetId="13">'PC 4 Waste Dumps 2'!$A$1:$M$22</definedName>
    <definedName name="_xlnm.Print_Area" localSheetId="14">'PC 4 Waste Dumps 3'!$A$1:$M$22</definedName>
    <definedName name="_xlnm.Print_Area" localSheetId="15">'PC 5 Processing Facilities'!$A$1:$M$68</definedName>
    <definedName name="_xlnm.Print_Area" localSheetId="16">'PC 6 Tailings Storage 1'!$A$1:$M$55</definedName>
    <definedName name="_xlnm.Print_Area" localSheetId="17">'PC 6 Tailings Storage 2'!$A$1:$M$55</definedName>
    <definedName name="_xlnm.Print_Area" localSheetId="18">'PC 6 Tailings Storage 3'!$A$1:$M$55</definedName>
    <definedName name="_xlnm.Print_Area" localSheetId="20">'PC 7 Heap Leach Facilities  2'!$A$1:$M$59</definedName>
    <definedName name="_xlnm.Print_Area" localSheetId="19">'PC 7 Heap Leach Facilities 1'!$A$1:$M$59</definedName>
    <definedName name="_xlnm.Print_Area" localSheetId="21">'PC 8 Rail Facilities'!$A$1:$M$64</definedName>
    <definedName name="_xlnm.Print_Area" localSheetId="22">'PC 9 Haul and Access Roads'!$A$1:$M$38</definedName>
    <definedName name="_xlnm.Print_Area" localSheetId="5">'Summary Page'!$A$1:$K$76</definedName>
    <definedName name="_xlnm.Print_Titles" localSheetId="4">Activities!$4:$9</definedName>
    <definedName name="_xlnm.Print_Titles" localSheetId="6">'PC 1 Exploration'!$21:$21</definedName>
    <definedName name="_xlnm.Print_Titles" localSheetId="23">'PC 10 Admin and Accommodation'!$21:$21</definedName>
    <definedName name="_xlnm.Print_Titles" localSheetId="24">'PC 11 Ancillary Areas '!$21:$21</definedName>
    <definedName name="_xlnm.Print_Titles" localSheetId="25">'PC 12 Borrow Pits'!$21:$21</definedName>
    <definedName name="_xlnm.Print_Titles" localSheetId="26">'PC 13 Services Infrastructure 1'!$21:$21</definedName>
    <definedName name="_xlnm.Print_Titles" localSheetId="27">'PC 13 Services Infrastructure 2'!$21:$21</definedName>
    <definedName name="_xlnm.Print_Titles" localSheetId="28">'PC 13 Services Infrastructure 3'!$21:$21</definedName>
    <definedName name="_xlnm.Print_Titles" localSheetId="29">'PC 14 Water Management'!$21:$21</definedName>
    <definedName name="_xlnm.Print_Titles" localSheetId="30">'PC 16 Equipment Mob &amp; Demob'!$21:$21</definedName>
    <definedName name="_xlnm.Print_Titles" localSheetId="9">'PC 3 Open Cut Pit 1'!$21:$21</definedName>
    <definedName name="_xlnm.Print_Titles" localSheetId="10">'PC 3 Open Cut Pit 2'!$21:$21</definedName>
    <definedName name="_xlnm.Print_Titles" localSheetId="11">'PC 3 Open Cut Pit 3'!$21:$21</definedName>
    <definedName name="_xlnm.Print_Titles" localSheetId="12">'PC 4 Waste Dumps 1'!$21:$21</definedName>
    <definedName name="_xlnm.Print_Titles" localSheetId="13">'PC 4 Waste Dumps 2'!$21:$21</definedName>
    <definedName name="_xlnm.Print_Titles" localSheetId="14">'PC 4 Waste Dumps 3'!$21:$21</definedName>
    <definedName name="_xlnm.Print_Titles" localSheetId="15">'PC 5 Processing Facilities'!$21:$21</definedName>
    <definedName name="_xlnm.Print_Titles" localSheetId="16">'PC 6 Tailings Storage 1'!$22:$22</definedName>
    <definedName name="_xlnm.Print_Titles" localSheetId="17">'PC 6 Tailings Storage 2'!$22:$22</definedName>
    <definedName name="_xlnm.Print_Titles" localSheetId="18">'PC 6 Tailings Storage 3'!$22:$22</definedName>
    <definedName name="_xlnm.Print_Titles" localSheetId="21">'PC 8 Rail Facilities'!$21:$21</definedName>
    <definedName name="ResidualRiskStructures">'Input Page'!$AM$64:$AM$70</definedName>
    <definedName name="Volume" localSheetId="35">'[1]PC 11 Ancillary Areas '!$U$27:$U$31</definedName>
    <definedName name="Volume" localSheetId="7">'[2]PC 11 Ancillary Areas '!$U$27:$U$31</definedName>
    <definedName name="Volume" localSheetId="33">'[3]PC 11 Ancillary Areas '!$U$27:$U$31</definedName>
    <definedName name="Volume" localSheetId="6">#REF!</definedName>
    <definedName name="Volume" localSheetId="21">'PC 8 Rail Facilities'!$U$26:$U$30</definedName>
    <definedName name="Volume">'PC 11 Ancillary Areas '!$U$27:$U$31</definedName>
    <definedName name="VolumeUGTank" localSheetId="21">'PC 8 Rail Facilities'!$U$47:$V$49</definedName>
    <definedName name="VolumeUGTank">'PC 11 Ancillary Areas '!$U$49:$V$51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42" i="66" l="1"/>
  <c r="AB41" i="66"/>
  <c r="AH40" i="66"/>
  <c r="AB40" i="66"/>
  <c r="AB42" i="66" s="1"/>
  <c r="AA36" i="66"/>
  <c r="AB35" i="66"/>
  <c r="AB34" i="66"/>
  <c r="AB36" i="66" s="1"/>
  <c r="AB21" i="66"/>
  <c r="AA21" i="66"/>
  <c r="AA20" i="66"/>
  <c r="AB20" i="66" s="1"/>
  <c r="AA19" i="66"/>
  <c r="AB19" i="66" s="1"/>
  <c r="AA18" i="66"/>
  <c r="AB18" i="66" s="1"/>
  <c r="AB17" i="66"/>
  <c r="AA17" i="66"/>
  <c r="AD16" i="66"/>
  <c r="AB16" i="66"/>
  <c r="AA16" i="66"/>
  <c r="AC40" i="66" l="1"/>
  <c r="AC41" i="66"/>
  <c r="AI41" i="66" l="1"/>
  <c r="AE41" i="66"/>
  <c r="AE40" i="66"/>
  <c r="AI40" i="66"/>
  <c r="AI42" i="66" s="1"/>
  <c r="AE42" i="66" l="1"/>
  <c r="R53" i="65" l="1"/>
  <c r="O53" i="65"/>
  <c r="L53" i="65"/>
  <c r="I53" i="65"/>
  <c r="F74" i="62"/>
  <c r="F72" i="62"/>
  <c r="F70" i="62"/>
  <c r="F68" i="62"/>
  <c r="F66" i="62"/>
  <c r="F64" i="62"/>
  <c r="F62" i="62"/>
  <c r="F60" i="62"/>
  <c r="F58" i="62"/>
  <c r="F56" i="62"/>
  <c r="F54" i="62"/>
  <c r="F52" i="62"/>
  <c r="F49" i="62"/>
  <c r="F47" i="62"/>
  <c r="F45" i="62"/>
  <c r="F43" i="62"/>
  <c r="F41" i="62"/>
  <c r="D136" i="1"/>
  <c r="D135" i="1"/>
  <c r="D134" i="1"/>
  <c r="D133" i="1"/>
  <c r="D132" i="1"/>
  <c r="D131" i="1"/>
  <c r="C136" i="1"/>
  <c r="C135" i="1"/>
  <c r="C134" i="1"/>
  <c r="C133" i="1"/>
  <c r="C132" i="1"/>
  <c r="C131" i="1"/>
  <c r="M72" i="62"/>
  <c r="M71" i="62"/>
  <c r="M68" i="62"/>
  <c r="M64" i="62"/>
  <c r="M60" i="62"/>
  <c r="M56" i="62"/>
  <c r="M52" i="62"/>
  <c r="M49" i="62"/>
  <c r="M48" i="62"/>
  <c r="M47" i="62"/>
  <c r="M45" i="62"/>
  <c r="M44" i="62"/>
  <c r="M43" i="62"/>
  <c r="M42" i="62"/>
  <c r="M41" i="62"/>
  <c r="M39" i="62"/>
  <c r="S136" i="1"/>
  <c r="S135" i="1"/>
  <c r="M46" i="62" s="1"/>
  <c r="S134" i="1"/>
  <c r="M63" i="62" s="1"/>
  <c r="S133" i="1"/>
  <c r="M59" i="62" s="1"/>
  <c r="S132" i="1"/>
  <c r="M40" i="62" s="1"/>
  <c r="S131" i="1"/>
  <c r="M38" i="62" s="1"/>
  <c r="M51" i="62" l="1"/>
  <c r="M67" i="62"/>
  <c r="M55" i="62"/>
  <c r="I27" i="62"/>
  <c r="F35" i="62"/>
  <c r="M35" i="62"/>
  <c r="C35" i="62"/>
  <c r="S145" i="1"/>
  <c r="I145" i="1" l="1"/>
  <c r="O145" i="1"/>
  <c r="Q145" i="1"/>
  <c r="I66" i="1"/>
  <c r="I67" i="1"/>
  <c r="C72" i="1"/>
  <c r="I74" i="62"/>
  <c r="I70" i="62"/>
  <c r="I66" i="62"/>
  <c r="I54" i="62"/>
  <c r="I58" i="62"/>
  <c r="O143" i="1" l="1"/>
  <c r="I143" i="1"/>
  <c r="I72" i="62"/>
  <c r="I68" i="62"/>
  <c r="I64" i="62"/>
  <c r="I60" i="62"/>
  <c r="I56" i="62"/>
  <c r="S144" i="1"/>
  <c r="Q144" i="1"/>
  <c r="I144" i="1"/>
  <c r="O144" i="1"/>
  <c r="I62" i="62" l="1"/>
  <c r="I52" i="62"/>
  <c r="I49" i="62"/>
  <c r="I47" i="62"/>
  <c r="I45" i="62"/>
  <c r="I43" i="62"/>
  <c r="I41" i="62"/>
  <c r="I39" i="62"/>
  <c r="E73" i="62" l="1"/>
  <c r="F53" i="65"/>
  <c r="E57" i="62" s="1"/>
  <c r="C53" i="65"/>
  <c r="R38" i="65"/>
  <c r="O38" i="65"/>
  <c r="L38" i="65"/>
  <c r="E63" i="62" s="1"/>
  <c r="I38" i="65"/>
  <c r="F38" i="65"/>
  <c r="C38" i="65"/>
  <c r="R19" i="65"/>
  <c r="E48" i="62" s="1"/>
  <c r="O19" i="65"/>
  <c r="L19" i="65"/>
  <c r="I19" i="65"/>
  <c r="F19" i="65"/>
  <c r="E40" i="62" s="1"/>
  <c r="C19" i="65"/>
  <c r="J53" i="65" l="1"/>
  <c r="H62" i="62" s="1"/>
  <c r="E61" i="62"/>
  <c r="J38" i="65"/>
  <c r="H60" i="62" s="1"/>
  <c r="E59" i="62"/>
  <c r="J19" i="65"/>
  <c r="H43" i="62" s="1"/>
  <c r="E42" i="62"/>
  <c r="S19" i="65"/>
  <c r="H49" i="62" s="1"/>
  <c r="P19" i="65"/>
  <c r="H47" i="62" s="1"/>
  <c r="E46" i="62"/>
  <c r="M19" i="65"/>
  <c r="H45" i="62" s="1"/>
  <c r="E44" i="62"/>
  <c r="G19" i="65"/>
  <c r="H41" i="62" s="1"/>
  <c r="D19" i="65"/>
  <c r="H39" i="62" s="1"/>
  <c r="E38" i="62"/>
  <c r="S53" i="65"/>
  <c r="H74" i="62" s="1"/>
  <c r="P53" i="65"/>
  <c r="H70" i="62" s="1"/>
  <c r="E69" i="62"/>
  <c r="M53" i="65"/>
  <c r="H66" i="62" s="1"/>
  <c r="E65" i="62"/>
  <c r="D53" i="65"/>
  <c r="H54" i="62" s="1"/>
  <c r="E53" i="62"/>
  <c r="S38" i="65"/>
  <c r="H72" i="62" s="1"/>
  <c r="E71" i="62"/>
  <c r="P38" i="65"/>
  <c r="H68" i="62" s="1"/>
  <c r="E67" i="62"/>
  <c r="M38" i="65"/>
  <c r="H64" i="62" s="1"/>
  <c r="G38" i="65"/>
  <c r="H56" i="62" s="1"/>
  <c r="E55" i="62"/>
  <c r="D38" i="65"/>
  <c r="H52" i="62" s="1"/>
  <c r="E51" i="62"/>
  <c r="G53" i="65"/>
  <c r="H58" i="62" s="1"/>
  <c r="M26" i="62" l="1"/>
  <c r="M27" i="62"/>
  <c r="F33" i="62"/>
  <c r="C33" i="62"/>
  <c r="F22" i="62"/>
  <c r="C22" i="62"/>
  <c r="F27" i="62"/>
  <c r="C27" i="62"/>
  <c r="F26" i="62"/>
  <c r="C26" i="62"/>
  <c r="Q25" i="62" s="1"/>
  <c r="M25" i="62"/>
  <c r="F25" i="62"/>
  <c r="C25" i="62"/>
  <c r="M24" i="62"/>
  <c r="F24" i="62"/>
  <c r="C24" i="62"/>
  <c r="M29" i="62"/>
  <c r="F29" i="62"/>
  <c r="C29" i="62"/>
  <c r="M28" i="62"/>
  <c r="F28" i="62"/>
  <c r="C28" i="62"/>
  <c r="M32" i="62"/>
  <c r="F32" i="62"/>
  <c r="C32" i="62"/>
  <c r="M36" i="62"/>
  <c r="F36" i="62"/>
  <c r="C36" i="62"/>
  <c r="M34" i="62"/>
  <c r="F34" i="62"/>
  <c r="C34" i="62"/>
  <c r="F39" i="62"/>
  <c r="M78" i="62"/>
  <c r="F78" i="62"/>
  <c r="C78" i="62"/>
  <c r="M77" i="62"/>
  <c r="F77" i="62"/>
  <c r="C77" i="62"/>
  <c r="M76" i="62"/>
  <c r="F76" i="62"/>
  <c r="C76" i="62"/>
  <c r="F80" i="62"/>
  <c r="C80" i="62"/>
  <c r="M92" i="62"/>
  <c r="F92" i="62"/>
  <c r="C92" i="62"/>
  <c r="M91" i="62"/>
  <c r="F91" i="62"/>
  <c r="C91" i="62"/>
  <c r="M90" i="62"/>
  <c r="F90" i="62"/>
  <c r="C90" i="62"/>
  <c r="M89" i="62"/>
  <c r="F89" i="62"/>
  <c r="C89" i="62"/>
  <c r="M88" i="62"/>
  <c r="F88" i="62"/>
  <c r="C88" i="62"/>
  <c r="M87" i="62"/>
  <c r="F87" i="62"/>
  <c r="C87" i="62"/>
  <c r="M86" i="62"/>
  <c r="F86" i="62"/>
  <c r="C86" i="62"/>
  <c r="M85" i="62"/>
  <c r="F85" i="62"/>
  <c r="C85" i="62"/>
  <c r="M84" i="62"/>
  <c r="F84" i="62"/>
  <c r="C84" i="62"/>
  <c r="M83" i="62"/>
  <c r="F83" i="62"/>
  <c r="C83" i="62"/>
  <c r="M82" i="62"/>
  <c r="F82" i="62"/>
  <c r="C82" i="62"/>
  <c r="M81" i="62"/>
  <c r="F81" i="62"/>
  <c r="C81" i="62"/>
  <c r="B97" i="62"/>
  <c r="L96" i="62"/>
  <c r="K96" i="62"/>
  <c r="L95" i="62"/>
  <c r="K95" i="62"/>
  <c r="L94" i="62"/>
  <c r="K94" i="62"/>
  <c r="B93" i="62"/>
  <c r="B79" i="62"/>
  <c r="B75" i="62"/>
  <c r="AA59" i="62"/>
  <c r="AB58" i="62"/>
  <c r="AB57" i="62"/>
  <c r="B50" i="62"/>
  <c r="B37" i="62"/>
  <c r="M33" i="62"/>
  <c r="B31" i="62"/>
  <c r="L30" i="62"/>
  <c r="K30" i="62"/>
  <c r="P25" i="62"/>
  <c r="B23" i="62"/>
  <c r="K97" i="62" l="1"/>
  <c r="AB59" i="62"/>
  <c r="Q55" i="62" s="1"/>
  <c r="Q56" i="62" s="1"/>
  <c r="R55" i="62" l="1"/>
  <c r="S55" i="62" s="1"/>
  <c r="Q57" i="62"/>
  <c r="R56" i="62"/>
  <c r="S56" i="62" s="1"/>
  <c r="C22" i="39"/>
  <c r="C22" i="2"/>
  <c r="Q58" i="62" l="1"/>
  <c r="R57" i="62"/>
  <c r="S57" i="62" s="1"/>
  <c r="O137" i="1"/>
  <c r="Q137" i="1"/>
  <c r="O138" i="1"/>
  <c r="O139" i="1"/>
  <c r="Q139" i="1"/>
  <c r="O140" i="1"/>
  <c r="Q140" i="1"/>
  <c r="I141" i="1"/>
  <c r="O141" i="1"/>
  <c r="O142" i="1"/>
  <c r="I142" i="1"/>
  <c r="I140" i="1"/>
  <c r="I139" i="1"/>
  <c r="I138" i="1"/>
  <c r="I137" i="1"/>
  <c r="Q59" i="62" l="1"/>
  <c r="R58" i="62"/>
  <c r="S58" i="62" s="1"/>
  <c r="Q138" i="1"/>
  <c r="Q141" i="1"/>
  <c r="Q142" i="1"/>
  <c r="Q60" i="62" l="1"/>
  <c r="R60" i="62" s="1"/>
  <c r="S60" i="62" s="1"/>
  <c r="R59" i="62"/>
  <c r="S59" i="62" s="1"/>
  <c r="I132" i="1"/>
  <c r="I133" i="1"/>
  <c r="I134" i="1"/>
  <c r="I135" i="1"/>
  <c r="I136" i="1"/>
  <c r="O132" i="1"/>
  <c r="Q132" i="1"/>
  <c r="O133" i="1"/>
  <c r="Q133" i="1"/>
  <c r="O134" i="1"/>
  <c r="Q134" i="1"/>
  <c r="O135" i="1"/>
  <c r="Q135" i="1"/>
  <c r="O136" i="1"/>
  <c r="Q136" i="1"/>
  <c r="H19" i="58"/>
  <c r="I19" i="58" s="1"/>
  <c r="H20" i="58"/>
  <c r="I20" i="58"/>
  <c r="H21" i="58"/>
  <c r="I21" i="58" s="1"/>
  <c r="H22" i="58"/>
  <c r="I22" i="58" s="1"/>
  <c r="H23" i="58"/>
  <c r="I23" i="58" s="1"/>
  <c r="H24" i="58"/>
  <c r="I24" i="58" s="1"/>
  <c r="H25" i="58"/>
  <c r="I25" i="58" s="1"/>
  <c r="H26" i="58"/>
  <c r="I26" i="58" s="1"/>
  <c r="H17" i="58"/>
  <c r="I17" i="58" s="1"/>
  <c r="H18" i="58"/>
  <c r="I18" i="58" s="1"/>
  <c r="E17" i="6" l="1"/>
  <c r="H119" i="58" l="1"/>
  <c r="I119" i="58" s="1"/>
  <c r="H118" i="58"/>
  <c r="I118" i="58" s="1"/>
  <c r="H117" i="58"/>
  <c r="I117" i="58" s="1"/>
  <c r="H116" i="58"/>
  <c r="I116" i="58" s="1"/>
  <c r="H115" i="58"/>
  <c r="I115" i="58" s="1"/>
  <c r="H114" i="58"/>
  <c r="I114" i="58" s="1"/>
  <c r="H113" i="58"/>
  <c r="I113" i="58" s="1"/>
  <c r="H112" i="58"/>
  <c r="I112" i="58" s="1"/>
  <c r="H111" i="58"/>
  <c r="I111" i="58" s="1"/>
  <c r="H110" i="58"/>
  <c r="I110" i="58" s="1"/>
  <c r="H109" i="58"/>
  <c r="I109" i="58" s="1"/>
  <c r="H108" i="58"/>
  <c r="I108" i="58" s="1"/>
  <c r="H107" i="58"/>
  <c r="I107" i="58" s="1"/>
  <c r="H106" i="58"/>
  <c r="I106" i="58" s="1"/>
  <c r="H105" i="58"/>
  <c r="I105" i="58" s="1"/>
  <c r="H104" i="58"/>
  <c r="I104" i="58" s="1"/>
  <c r="H103" i="58"/>
  <c r="I103" i="58" s="1"/>
  <c r="H102" i="58"/>
  <c r="I102" i="58" s="1"/>
  <c r="H101" i="58"/>
  <c r="I101" i="58" s="1"/>
  <c r="H100" i="58"/>
  <c r="I100" i="58" s="1"/>
  <c r="H99" i="58"/>
  <c r="I99" i="58" s="1"/>
  <c r="H98" i="58"/>
  <c r="I98" i="58" s="1"/>
  <c r="H97" i="58"/>
  <c r="I97" i="58" s="1"/>
  <c r="H96" i="58"/>
  <c r="I96" i="58" s="1"/>
  <c r="H95" i="58"/>
  <c r="I95" i="58" s="1"/>
  <c r="H94" i="58"/>
  <c r="I94" i="58" s="1"/>
  <c r="H93" i="58"/>
  <c r="I93" i="58" s="1"/>
  <c r="H92" i="58"/>
  <c r="I92" i="58" s="1"/>
  <c r="H91" i="58"/>
  <c r="I91" i="58" s="1"/>
  <c r="H90" i="58"/>
  <c r="I90" i="58" s="1"/>
  <c r="H89" i="58"/>
  <c r="I89" i="58" s="1"/>
  <c r="H88" i="58"/>
  <c r="I88" i="58" s="1"/>
  <c r="H87" i="58"/>
  <c r="I87" i="58" s="1"/>
  <c r="H86" i="58"/>
  <c r="I86" i="58" s="1"/>
  <c r="H85" i="58"/>
  <c r="I85" i="58" s="1"/>
  <c r="H84" i="58"/>
  <c r="I84" i="58" s="1"/>
  <c r="H83" i="58"/>
  <c r="I83" i="58" s="1"/>
  <c r="H82" i="58"/>
  <c r="I82" i="58" s="1"/>
  <c r="H81" i="58"/>
  <c r="I81" i="58" s="1"/>
  <c r="H80" i="58"/>
  <c r="I80" i="58" s="1"/>
  <c r="H79" i="58"/>
  <c r="I79" i="58" s="1"/>
  <c r="H78" i="58"/>
  <c r="I78" i="58" s="1"/>
  <c r="H77" i="58"/>
  <c r="I77" i="58" s="1"/>
  <c r="H76" i="58"/>
  <c r="I76" i="58" s="1"/>
  <c r="H75" i="58"/>
  <c r="I75" i="58" s="1"/>
  <c r="H74" i="58"/>
  <c r="I74" i="58" s="1"/>
  <c r="H73" i="58"/>
  <c r="I73" i="58" s="1"/>
  <c r="H72" i="58"/>
  <c r="I72" i="58" s="1"/>
  <c r="H71" i="58"/>
  <c r="I71" i="58" s="1"/>
  <c r="H70" i="58"/>
  <c r="I70" i="58" s="1"/>
  <c r="H69" i="58"/>
  <c r="I69" i="58" s="1"/>
  <c r="H68" i="58"/>
  <c r="I68" i="58" s="1"/>
  <c r="H67" i="58"/>
  <c r="I67" i="58" s="1"/>
  <c r="H66" i="58"/>
  <c r="I66" i="58" s="1"/>
  <c r="H65" i="58"/>
  <c r="I65" i="58" s="1"/>
  <c r="H64" i="58"/>
  <c r="I64" i="58" s="1"/>
  <c r="H63" i="58"/>
  <c r="I63" i="58" s="1"/>
  <c r="H62" i="58"/>
  <c r="I62" i="58" s="1"/>
  <c r="H61" i="58"/>
  <c r="I61" i="58" s="1"/>
  <c r="H60" i="58"/>
  <c r="I60" i="58" s="1"/>
  <c r="H59" i="58"/>
  <c r="I59" i="58" s="1"/>
  <c r="H58" i="58"/>
  <c r="I58" i="58" s="1"/>
  <c r="H57" i="58"/>
  <c r="I57" i="58" s="1"/>
  <c r="H56" i="58"/>
  <c r="I56" i="58" s="1"/>
  <c r="H55" i="58"/>
  <c r="I55" i="58" s="1"/>
  <c r="H54" i="58"/>
  <c r="I54" i="58" s="1"/>
  <c r="H53" i="58"/>
  <c r="I53" i="58" s="1"/>
  <c r="H52" i="58"/>
  <c r="I52" i="58" s="1"/>
  <c r="H51" i="58"/>
  <c r="I51" i="58" s="1"/>
  <c r="H50" i="58"/>
  <c r="I50" i="58" s="1"/>
  <c r="H49" i="58"/>
  <c r="I49" i="58" s="1"/>
  <c r="H48" i="58"/>
  <c r="I48" i="58" s="1"/>
  <c r="H47" i="58"/>
  <c r="I47" i="58" s="1"/>
  <c r="H46" i="58"/>
  <c r="I46" i="58" s="1"/>
  <c r="H45" i="58"/>
  <c r="I45" i="58" s="1"/>
  <c r="H44" i="58"/>
  <c r="I44" i="58" s="1"/>
  <c r="H43" i="58"/>
  <c r="I43" i="58" s="1"/>
  <c r="H42" i="58"/>
  <c r="I42" i="58" s="1"/>
  <c r="H41" i="58"/>
  <c r="I41" i="58" s="1"/>
  <c r="H40" i="58"/>
  <c r="I40" i="58" s="1"/>
  <c r="H39" i="58"/>
  <c r="I39" i="58" s="1"/>
  <c r="H38" i="58"/>
  <c r="I38" i="58" s="1"/>
  <c r="H37" i="58"/>
  <c r="I37" i="58" s="1"/>
  <c r="H36" i="58"/>
  <c r="I36" i="58" s="1"/>
  <c r="H35" i="58"/>
  <c r="I35" i="58" s="1"/>
  <c r="H34" i="58"/>
  <c r="I34" i="58" s="1"/>
  <c r="H33" i="58"/>
  <c r="I33" i="58" s="1"/>
  <c r="H32" i="58"/>
  <c r="I32" i="58" s="1"/>
  <c r="H31" i="58"/>
  <c r="I31" i="58" s="1"/>
  <c r="H30" i="58"/>
  <c r="I30" i="58" s="1"/>
  <c r="H29" i="58"/>
  <c r="I29" i="58" s="1"/>
  <c r="H28" i="58"/>
  <c r="I28" i="58" s="1"/>
  <c r="H27" i="58"/>
  <c r="I3" i="58"/>
  <c r="I27" i="58" l="1"/>
  <c r="I4" i="58" s="1"/>
  <c r="I5" i="58" s="1"/>
  <c r="I8" i="58" s="1"/>
  <c r="H4" i="58"/>
  <c r="H5" i="58" s="1"/>
  <c r="E6" i="57"/>
  <c r="E27" i="55" s="1"/>
  <c r="D6" i="57"/>
  <c r="E25" i="55" s="1"/>
  <c r="C6" i="57"/>
  <c r="E23" i="55" s="1"/>
  <c r="P1" i="35" l="1"/>
  <c r="P1" i="34"/>
  <c r="M30" i="35"/>
  <c r="I30" i="35"/>
  <c r="K30" i="35" s="1"/>
  <c r="L30" i="35" s="1"/>
  <c r="F30" i="35"/>
  <c r="C30" i="35"/>
  <c r="R1" i="35" s="1"/>
  <c r="M30" i="34"/>
  <c r="I30" i="34"/>
  <c r="K30" i="34" s="1"/>
  <c r="L30" i="34" s="1"/>
  <c r="F30" i="34"/>
  <c r="C30" i="34"/>
  <c r="R1" i="34" s="1"/>
  <c r="P1" i="4"/>
  <c r="M30" i="4"/>
  <c r="F30" i="4"/>
  <c r="C30" i="4"/>
  <c r="R1" i="4" s="1"/>
  <c r="H22" i="11" l="1"/>
  <c r="I43" i="41" l="1"/>
  <c r="I42" i="41"/>
  <c r="I39" i="12"/>
  <c r="I37" i="12"/>
  <c r="I31" i="12" l="1"/>
  <c r="I32" i="53"/>
  <c r="I31" i="53"/>
  <c r="I30" i="53"/>
  <c r="I34" i="41"/>
  <c r="I33" i="41"/>
  <c r="K33" i="41" s="1"/>
  <c r="I32" i="41"/>
  <c r="K32" i="41" s="1"/>
  <c r="I41" i="53" l="1"/>
  <c r="I40" i="53"/>
  <c r="M22" i="40"/>
  <c r="I22" i="40"/>
  <c r="K22" i="40" s="1"/>
  <c r="L22" i="40" s="1"/>
  <c r="F22" i="40"/>
  <c r="C22" i="40"/>
  <c r="C51" i="40"/>
  <c r="F51" i="40"/>
  <c r="M51" i="40"/>
  <c r="C51" i="28"/>
  <c r="F51" i="28"/>
  <c r="M51" i="28"/>
  <c r="M37" i="2"/>
  <c r="C37" i="2"/>
  <c r="F37" i="2"/>
  <c r="C33" i="2"/>
  <c r="F33" i="2"/>
  <c r="C34" i="2"/>
  <c r="F34" i="2"/>
  <c r="M33" i="2"/>
  <c r="M34" i="2"/>
  <c r="M37" i="38"/>
  <c r="C37" i="38"/>
  <c r="F37" i="38"/>
  <c r="F33" i="38"/>
  <c r="F34" i="38"/>
  <c r="C33" i="38"/>
  <c r="C34" i="38"/>
  <c r="M33" i="38"/>
  <c r="M34" i="38"/>
  <c r="M22" i="2"/>
  <c r="M22" i="39"/>
  <c r="I37" i="2"/>
  <c r="I47" i="10"/>
  <c r="I43" i="10"/>
  <c r="I41" i="10"/>
  <c r="I40" i="10"/>
  <c r="I36" i="10"/>
  <c r="I39" i="35"/>
  <c r="I31" i="35"/>
  <c r="I39" i="34"/>
  <c r="I31" i="34"/>
  <c r="M25" i="55" l="1"/>
  <c r="C25" i="55"/>
  <c r="M23" i="55"/>
  <c r="C23" i="55"/>
  <c r="M31" i="42"/>
  <c r="F31" i="42"/>
  <c r="C31" i="42"/>
  <c r="M30" i="44"/>
  <c r="F30" i="42"/>
  <c r="C30" i="44"/>
  <c r="M31" i="44" l="1"/>
  <c r="F30" i="15"/>
  <c r="C31" i="44"/>
  <c r="C30" i="42"/>
  <c r="F30" i="44"/>
  <c r="C30" i="15"/>
  <c r="F31" i="44"/>
  <c r="M30" i="42"/>
  <c r="M30" i="15"/>
  <c r="C32" i="15" l="1"/>
  <c r="F32" i="15"/>
  <c r="M32" i="15"/>
  <c r="C48" i="22" l="1"/>
  <c r="M48" i="22"/>
  <c r="F48" i="22"/>
  <c r="B32" i="55" l="1"/>
  <c r="L31" i="55"/>
  <c r="K31" i="55"/>
  <c r="L30" i="55"/>
  <c r="K30" i="55"/>
  <c r="L29" i="55"/>
  <c r="K29" i="55"/>
  <c r="B28" i="55"/>
  <c r="M27" i="55"/>
  <c r="C27" i="55"/>
  <c r="J28" i="6"/>
  <c r="E19" i="6"/>
  <c r="E15" i="6"/>
  <c r="C2" i="55" l="1"/>
  <c r="K32" i="55"/>
  <c r="F49" i="15"/>
  <c r="I34" i="22"/>
  <c r="I32" i="22"/>
  <c r="I31" i="22"/>
  <c r="F39" i="15"/>
  <c r="C39" i="15"/>
  <c r="I36" i="54"/>
  <c r="I30" i="54"/>
  <c r="I30" i="37"/>
  <c r="I35" i="36"/>
  <c r="I35" i="3"/>
  <c r="M39" i="15"/>
  <c r="AM25" i="1"/>
  <c r="AL25" i="1"/>
  <c r="Q25" i="1"/>
  <c r="O25" i="1"/>
  <c r="I25" i="1"/>
  <c r="M41" i="33"/>
  <c r="F41" i="33"/>
  <c r="C41" i="33"/>
  <c r="P16" i="22" l="1"/>
  <c r="P8" i="22"/>
  <c r="P1" i="22"/>
  <c r="F45" i="44"/>
  <c r="F45" i="42"/>
  <c r="F45" i="15"/>
  <c r="P9" i="54"/>
  <c r="P1" i="54"/>
  <c r="P9" i="41"/>
  <c r="P1" i="41"/>
  <c r="P9" i="12"/>
  <c r="P1" i="12"/>
  <c r="P9" i="53"/>
  <c r="P1" i="53"/>
  <c r="P16" i="40"/>
  <c r="P8" i="40"/>
  <c r="P1" i="40"/>
  <c r="P16" i="28"/>
  <c r="P8" i="28"/>
  <c r="P1" i="28"/>
  <c r="I42" i="33"/>
  <c r="I39" i="33"/>
  <c r="P26" i="33"/>
  <c r="P18" i="33"/>
  <c r="C39" i="33"/>
  <c r="F39" i="33"/>
  <c r="C40" i="33"/>
  <c r="F40" i="33"/>
  <c r="C42" i="33"/>
  <c r="F42" i="33"/>
  <c r="C43" i="33"/>
  <c r="F43" i="33"/>
  <c r="C44" i="33"/>
  <c r="F44" i="33"/>
  <c r="C45" i="33"/>
  <c r="F45" i="33"/>
  <c r="C46" i="33"/>
  <c r="F46" i="33"/>
  <c r="C47" i="33"/>
  <c r="F47" i="33"/>
  <c r="C48" i="33"/>
  <c r="F48" i="33"/>
  <c r="C49" i="33"/>
  <c r="F49" i="33"/>
  <c r="C50" i="33"/>
  <c r="F50" i="33"/>
  <c r="C51" i="33"/>
  <c r="F51" i="33"/>
  <c r="C52" i="33"/>
  <c r="F52" i="33"/>
  <c r="B53" i="33"/>
  <c r="P16" i="4"/>
  <c r="P8" i="4"/>
  <c r="P16" i="34"/>
  <c r="P8" i="34"/>
  <c r="P16" i="35"/>
  <c r="P8" i="35"/>
  <c r="P9" i="3"/>
  <c r="P1" i="3"/>
  <c r="P9" i="36"/>
  <c r="P1" i="36"/>
  <c r="P9" i="37"/>
  <c r="P1" i="37"/>
  <c r="P16" i="10"/>
  <c r="P8" i="10"/>
  <c r="P16" i="39"/>
  <c r="P8" i="39"/>
  <c r="P1" i="39"/>
  <c r="P16" i="38"/>
  <c r="P8" i="38"/>
  <c r="P1" i="38"/>
  <c r="C28" i="22"/>
  <c r="F28" i="22"/>
  <c r="M28" i="22"/>
  <c r="M35" i="22"/>
  <c r="F35" i="22"/>
  <c r="C35" i="22"/>
  <c r="M25" i="22"/>
  <c r="F25" i="22"/>
  <c r="C25" i="22"/>
  <c r="M24" i="22"/>
  <c r="F24" i="22"/>
  <c r="C24" i="22"/>
  <c r="M23" i="22"/>
  <c r="F23" i="22"/>
  <c r="C23" i="22"/>
  <c r="M22" i="22"/>
  <c r="F22" i="22"/>
  <c r="C22" i="22"/>
  <c r="M29" i="22"/>
  <c r="M30" i="22"/>
  <c r="M31" i="22"/>
  <c r="M32" i="22"/>
  <c r="M33" i="22"/>
  <c r="M34" i="22"/>
  <c r="F29" i="22"/>
  <c r="F30" i="22"/>
  <c r="F31" i="22"/>
  <c r="F32" i="22"/>
  <c r="F33" i="22"/>
  <c r="F34" i="22"/>
  <c r="C29" i="22"/>
  <c r="C30" i="22"/>
  <c r="C31" i="22"/>
  <c r="C32" i="22"/>
  <c r="R1" i="22" s="1"/>
  <c r="C33" i="22"/>
  <c r="C34" i="22"/>
  <c r="M27" i="22"/>
  <c r="F27" i="22"/>
  <c r="C27" i="22"/>
  <c r="M45" i="22"/>
  <c r="F45" i="22"/>
  <c r="C45" i="22"/>
  <c r="M51" i="22"/>
  <c r="F51" i="22"/>
  <c r="C51" i="22"/>
  <c r="M49" i="22"/>
  <c r="F49" i="22"/>
  <c r="C49" i="22"/>
  <c r="M47" i="22"/>
  <c r="F47" i="22"/>
  <c r="C47" i="22"/>
  <c r="M44" i="22"/>
  <c r="F44" i="22"/>
  <c r="C44" i="22"/>
  <c r="M43" i="22"/>
  <c r="F43" i="22"/>
  <c r="C43" i="22"/>
  <c r="M42" i="22"/>
  <c r="F42" i="22"/>
  <c r="C42" i="22"/>
  <c r="M41" i="22"/>
  <c r="F41" i="22"/>
  <c r="C41" i="22"/>
  <c r="M40" i="22"/>
  <c r="F40" i="22"/>
  <c r="C40" i="22"/>
  <c r="M39" i="22"/>
  <c r="F39" i="22"/>
  <c r="C39" i="22"/>
  <c r="M38" i="22"/>
  <c r="F38" i="22"/>
  <c r="C38" i="22"/>
  <c r="M37" i="22"/>
  <c r="F37" i="22"/>
  <c r="C37" i="22"/>
  <c r="M36" i="22"/>
  <c r="F36" i="22"/>
  <c r="C36" i="22"/>
  <c r="B46" i="22"/>
  <c r="B50" i="22"/>
  <c r="K54" i="44"/>
  <c r="K53" i="44"/>
  <c r="M52" i="44"/>
  <c r="F52" i="44"/>
  <c r="C52" i="44"/>
  <c r="B51" i="44"/>
  <c r="M50" i="44"/>
  <c r="F50" i="44"/>
  <c r="C50" i="44"/>
  <c r="M49" i="44"/>
  <c r="F49" i="44"/>
  <c r="C49" i="44"/>
  <c r="M48" i="44"/>
  <c r="F48" i="44"/>
  <c r="C48" i="44"/>
  <c r="M47" i="44"/>
  <c r="F47" i="44"/>
  <c r="C47" i="44"/>
  <c r="M46" i="44"/>
  <c r="F46" i="44"/>
  <c r="C46" i="44"/>
  <c r="M45" i="44"/>
  <c r="C45" i="44"/>
  <c r="M44" i="44"/>
  <c r="F44" i="44"/>
  <c r="C44" i="44"/>
  <c r="M43" i="44"/>
  <c r="F43" i="44"/>
  <c r="C43" i="44"/>
  <c r="M42" i="44"/>
  <c r="F42" i="44"/>
  <c r="C42" i="44"/>
  <c r="B41" i="44"/>
  <c r="M40" i="44"/>
  <c r="F40" i="44"/>
  <c r="C40" i="44"/>
  <c r="M39" i="44"/>
  <c r="F39" i="44"/>
  <c r="C39" i="44"/>
  <c r="M38" i="44"/>
  <c r="F38" i="44"/>
  <c r="C38" i="44"/>
  <c r="M37" i="44"/>
  <c r="F37" i="44"/>
  <c r="C37" i="44"/>
  <c r="M36" i="44"/>
  <c r="F36" i="44"/>
  <c r="C36" i="44"/>
  <c r="M35" i="44"/>
  <c r="F35" i="44"/>
  <c r="C35" i="44"/>
  <c r="M34" i="44"/>
  <c r="F34" i="44"/>
  <c r="C34" i="44"/>
  <c r="M33" i="44"/>
  <c r="F33" i="44"/>
  <c r="C33" i="44"/>
  <c r="M32" i="44"/>
  <c r="F32" i="44"/>
  <c r="C32" i="44"/>
  <c r="M29" i="44"/>
  <c r="F29" i="44"/>
  <c r="C29" i="44"/>
  <c r="B28" i="44"/>
  <c r="M27" i="44"/>
  <c r="F27" i="44"/>
  <c r="C27" i="44"/>
  <c r="M26" i="44"/>
  <c r="F26" i="44"/>
  <c r="C26" i="44"/>
  <c r="M25" i="44"/>
  <c r="F25" i="44"/>
  <c r="C25" i="44"/>
  <c r="M24" i="44"/>
  <c r="F24" i="44"/>
  <c r="C24" i="44"/>
  <c r="M23" i="44"/>
  <c r="F23" i="44"/>
  <c r="C23" i="44"/>
  <c r="M22" i="44"/>
  <c r="F22" i="44"/>
  <c r="C22" i="44"/>
  <c r="K54" i="42"/>
  <c r="K53" i="42"/>
  <c r="M52" i="42"/>
  <c r="F52" i="42"/>
  <c r="C52" i="42"/>
  <c r="B51" i="42"/>
  <c r="M50" i="42"/>
  <c r="F50" i="42"/>
  <c r="C50" i="42"/>
  <c r="M49" i="42"/>
  <c r="F49" i="42"/>
  <c r="C49" i="42"/>
  <c r="M48" i="42"/>
  <c r="F48" i="42"/>
  <c r="C48" i="42"/>
  <c r="M47" i="42"/>
  <c r="F47" i="42"/>
  <c r="C47" i="42"/>
  <c r="M46" i="42"/>
  <c r="F46" i="42"/>
  <c r="C46" i="42"/>
  <c r="M45" i="42"/>
  <c r="C45" i="42"/>
  <c r="M44" i="42"/>
  <c r="F44" i="42"/>
  <c r="C44" i="42"/>
  <c r="M43" i="42"/>
  <c r="F43" i="42"/>
  <c r="C43" i="42"/>
  <c r="M42" i="42"/>
  <c r="F42" i="42"/>
  <c r="C42" i="42"/>
  <c r="B41" i="42"/>
  <c r="M40" i="42"/>
  <c r="F40" i="42"/>
  <c r="C40" i="42"/>
  <c r="M39" i="42"/>
  <c r="F39" i="42"/>
  <c r="C39" i="42"/>
  <c r="M38" i="42"/>
  <c r="F38" i="42"/>
  <c r="C38" i="42"/>
  <c r="M37" i="42"/>
  <c r="F37" i="42"/>
  <c r="C37" i="42"/>
  <c r="M36" i="42"/>
  <c r="F36" i="42"/>
  <c r="C36" i="42"/>
  <c r="M35" i="42"/>
  <c r="F35" i="42"/>
  <c r="C35" i="42"/>
  <c r="M34" i="42"/>
  <c r="F34" i="42"/>
  <c r="C34" i="42"/>
  <c r="M33" i="42"/>
  <c r="F33" i="42"/>
  <c r="C33" i="42"/>
  <c r="M32" i="42"/>
  <c r="F32" i="42"/>
  <c r="C32" i="42"/>
  <c r="M29" i="42"/>
  <c r="F29" i="42"/>
  <c r="C29" i="42"/>
  <c r="B28" i="42"/>
  <c r="M27" i="42"/>
  <c r="F27" i="42"/>
  <c r="C27" i="42"/>
  <c r="M26" i="42"/>
  <c r="F26" i="42"/>
  <c r="C26" i="42"/>
  <c r="M25" i="42"/>
  <c r="F25" i="42"/>
  <c r="C25" i="42"/>
  <c r="M24" i="42"/>
  <c r="F24" i="42"/>
  <c r="C24" i="42"/>
  <c r="M23" i="42"/>
  <c r="F23" i="42"/>
  <c r="C23" i="42"/>
  <c r="M22" i="42"/>
  <c r="F22" i="42"/>
  <c r="C22" i="42"/>
  <c r="M44" i="15"/>
  <c r="M45" i="15"/>
  <c r="M46" i="15"/>
  <c r="C45" i="15"/>
  <c r="M49" i="15"/>
  <c r="C49" i="15"/>
  <c r="M52" i="15"/>
  <c r="F52" i="15"/>
  <c r="C52" i="15"/>
  <c r="M50" i="15"/>
  <c r="F50" i="15"/>
  <c r="C50" i="15"/>
  <c r="M48" i="15"/>
  <c r="F48" i="15"/>
  <c r="C48" i="15"/>
  <c r="M47" i="15"/>
  <c r="F47" i="15"/>
  <c r="C47" i="15"/>
  <c r="F46" i="15"/>
  <c r="C46" i="15"/>
  <c r="F44" i="15"/>
  <c r="C44" i="15"/>
  <c r="M43" i="15"/>
  <c r="F43" i="15"/>
  <c r="C43" i="15"/>
  <c r="M42" i="15"/>
  <c r="F42" i="15"/>
  <c r="C42" i="15"/>
  <c r="M40" i="15"/>
  <c r="F40" i="15"/>
  <c r="C40" i="15"/>
  <c r="M38" i="15"/>
  <c r="F38" i="15"/>
  <c r="C38" i="15"/>
  <c r="M37" i="15"/>
  <c r="F37" i="15"/>
  <c r="C37" i="15"/>
  <c r="M36" i="15"/>
  <c r="F36" i="15"/>
  <c r="C36" i="15"/>
  <c r="M35" i="15"/>
  <c r="F35" i="15"/>
  <c r="C35" i="15"/>
  <c r="M34" i="15"/>
  <c r="F34" i="15"/>
  <c r="C34" i="15"/>
  <c r="M33" i="15"/>
  <c r="F33" i="15"/>
  <c r="C33" i="15"/>
  <c r="M31" i="15"/>
  <c r="F31" i="15"/>
  <c r="C31" i="15"/>
  <c r="M29" i="15"/>
  <c r="F29" i="15"/>
  <c r="C29" i="15"/>
  <c r="M26" i="15"/>
  <c r="M27" i="15"/>
  <c r="F27" i="15"/>
  <c r="C27" i="15"/>
  <c r="F26" i="15"/>
  <c r="C26" i="15"/>
  <c r="M25" i="15"/>
  <c r="F25" i="15"/>
  <c r="C25" i="15"/>
  <c r="M24" i="15"/>
  <c r="F24" i="15"/>
  <c r="C24" i="15"/>
  <c r="M23" i="15"/>
  <c r="F23" i="15"/>
  <c r="C23" i="15"/>
  <c r="M22" i="15"/>
  <c r="F22" i="15"/>
  <c r="C22" i="15"/>
  <c r="B52" i="54"/>
  <c r="K51" i="54"/>
  <c r="K50" i="54"/>
  <c r="K49" i="54"/>
  <c r="M48" i="54"/>
  <c r="F48" i="54"/>
  <c r="C48" i="54"/>
  <c r="B47" i="54"/>
  <c r="M46" i="54"/>
  <c r="F46" i="54"/>
  <c r="C46" i="54"/>
  <c r="M45" i="54"/>
  <c r="F45" i="54"/>
  <c r="C45" i="54"/>
  <c r="M44" i="54"/>
  <c r="F44" i="54"/>
  <c r="C44" i="54"/>
  <c r="M43" i="54"/>
  <c r="F43" i="54"/>
  <c r="C43" i="54"/>
  <c r="M42" i="54"/>
  <c r="F42" i="54"/>
  <c r="C42" i="54"/>
  <c r="M41" i="54"/>
  <c r="F41" i="54"/>
  <c r="C41" i="54"/>
  <c r="M40" i="54"/>
  <c r="F40" i="54"/>
  <c r="C40" i="54"/>
  <c r="M39" i="54"/>
  <c r="F39" i="54"/>
  <c r="C39" i="54"/>
  <c r="M38" i="54"/>
  <c r="F38" i="54"/>
  <c r="C38" i="54"/>
  <c r="M37" i="54"/>
  <c r="F37" i="54"/>
  <c r="C37" i="54"/>
  <c r="M36" i="54"/>
  <c r="F36" i="54"/>
  <c r="C36" i="54"/>
  <c r="B35" i="54"/>
  <c r="M34" i="54"/>
  <c r="F34" i="54"/>
  <c r="C34" i="54"/>
  <c r="M33" i="54"/>
  <c r="F33" i="54"/>
  <c r="C33" i="54"/>
  <c r="M32" i="54"/>
  <c r="F32" i="54"/>
  <c r="C32" i="54"/>
  <c r="M31" i="54"/>
  <c r="F31" i="54"/>
  <c r="C31" i="54"/>
  <c r="M30" i="54"/>
  <c r="F30" i="54"/>
  <c r="C30" i="54"/>
  <c r="M29" i="54"/>
  <c r="F29" i="54"/>
  <c r="C29" i="54"/>
  <c r="M28" i="54"/>
  <c r="F28" i="54"/>
  <c r="C28" i="54"/>
  <c r="M27" i="54"/>
  <c r="F27" i="54"/>
  <c r="C27" i="54"/>
  <c r="B26" i="54"/>
  <c r="K25" i="54"/>
  <c r="K26" i="54" s="1"/>
  <c r="K24" i="54"/>
  <c r="B23" i="54"/>
  <c r="M22" i="54"/>
  <c r="I22" i="54"/>
  <c r="K22" i="54" s="1"/>
  <c r="K23" i="54" s="1"/>
  <c r="C22" i="54"/>
  <c r="Y1" i="54"/>
  <c r="B59" i="53"/>
  <c r="K58" i="53"/>
  <c r="K57" i="53"/>
  <c r="K56" i="53"/>
  <c r="B55" i="53"/>
  <c r="K54" i="53"/>
  <c r="M53" i="53"/>
  <c r="F53" i="53"/>
  <c r="C53" i="53"/>
  <c r="M52" i="53"/>
  <c r="F52" i="53"/>
  <c r="C52" i="53"/>
  <c r="M51" i="53"/>
  <c r="F51" i="53"/>
  <c r="C51" i="53"/>
  <c r="M50" i="53"/>
  <c r="F50" i="53"/>
  <c r="C50" i="53"/>
  <c r="M49" i="53"/>
  <c r="F49" i="53"/>
  <c r="C49" i="53"/>
  <c r="M48" i="53"/>
  <c r="F48" i="53"/>
  <c r="C48" i="53"/>
  <c r="M47" i="53"/>
  <c r="F47" i="53"/>
  <c r="C47" i="53"/>
  <c r="M46" i="53"/>
  <c r="F46" i="53"/>
  <c r="C46" i="53"/>
  <c r="M45" i="53"/>
  <c r="F45" i="53"/>
  <c r="C45" i="53"/>
  <c r="M44" i="53"/>
  <c r="F44" i="53"/>
  <c r="C44" i="53"/>
  <c r="M43" i="53"/>
  <c r="F43" i="53"/>
  <c r="C43" i="53"/>
  <c r="M42" i="53"/>
  <c r="F42" i="53"/>
  <c r="C42" i="53"/>
  <c r="M41" i="53"/>
  <c r="F41" i="53"/>
  <c r="C41" i="53"/>
  <c r="M40" i="53"/>
  <c r="F40" i="53"/>
  <c r="C40" i="53"/>
  <c r="B39" i="53"/>
  <c r="K38" i="53"/>
  <c r="L38" i="53" s="1"/>
  <c r="M37" i="53"/>
  <c r="F37" i="53"/>
  <c r="C37" i="53"/>
  <c r="M36" i="53"/>
  <c r="F36" i="53"/>
  <c r="C36" i="53"/>
  <c r="M35" i="53"/>
  <c r="F35" i="53"/>
  <c r="C35" i="53"/>
  <c r="B34" i="53"/>
  <c r="U29" i="53"/>
  <c r="K33" i="53"/>
  <c r="U28" i="53"/>
  <c r="M32" i="53"/>
  <c r="F32" i="53"/>
  <c r="C32" i="53"/>
  <c r="U27" i="53"/>
  <c r="M31" i="53"/>
  <c r="F31" i="53"/>
  <c r="C31" i="53"/>
  <c r="U26" i="53"/>
  <c r="M30" i="53"/>
  <c r="F30" i="53"/>
  <c r="C30" i="53"/>
  <c r="M29" i="53"/>
  <c r="F29" i="53"/>
  <c r="C29" i="53"/>
  <c r="P24" i="53"/>
  <c r="M28" i="53"/>
  <c r="F28" i="53"/>
  <c r="C28" i="53"/>
  <c r="M27" i="53"/>
  <c r="F27" i="53"/>
  <c r="C27" i="53"/>
  <c r="M26" i="53"/>
  <c r="F26" i="53"/>
  <c r="C26" i="53"/>
  <c r="M25" i="53"/>
  <c r="F25" i="53"/>
  <c r="C25" i="53"/>
  <c r="M24" i="53"/>
  <c r="F24" i="53"/>
  <c r="C24" i="53"/>
  <c r="B23" i="53"/>
  <c r="M22" i="53"/>
  <c r="F22" i="53"/>
  <c r="C22" i="53"/>
  <c r="C31" i="41"/>
  <c r="F31" i="41"/>
  <c r="C32" i="41"/>
  <c r="F32" i="41"/>
  <c r="C33" i="41"/>
  <c r="F33" i="41"/>
  <c r="C34" i="41"/>
  <c r="F34" i="41"/>
  <c r="M31" i="41"/>
  <c r="M32" i="41"/>
  <c r="M33" i="41"/>
  <c r="M34" i="41"/>
  <c r="M42" i="41"/>
  <c r="M43" i="41"/>
  <c r="C42" i="41"/>
  <c r="F42" i="41"/>
  <c r="C43" i="41"/>
  <c r="F43" i="41"/>
  <c r="P25" i="41"/>
  <c r="K59" i="53" l="1"/>
  <c r="I29" i="53"/>
  <c r="K29" i="53" s="1"/>
  <c r="L29" i="53" s="1"/>
  <c r="K34" i="41"/>
  <c r="O123" i="1"/>
  <c r="O124" i="1"/>
  <c r="I131" i="1"/>
  <c r="O131" i="1"/>
  <c r="Q131" i="1"/>
  <c r="AM130" i="1"/>
  <c r="Q130" i="1"/>
  <c r="O130" i="1"/>
  <c r="I130" i="1"/>
  <c r="AL130" i="1"/>
  <c r="M23" i="41"/>
  <c r="F23" i="41"/>
  <c r="C23" i="41"/>
  <c r="M22" i="41"/>
  <c r="F22" i="41"/>
  <c r="C22" i="41"/>
  <c r="M30" i="41"/>
  <c r="F30" i="41"/>
  <c r="C30" i="41"/>
  <c r="M29" i="41"/>
  <c r="F29" i="41"/>
  <c r="C29" i="41"/>
  <c r="M28" i="41"/>
  <c r="F28" i="41"/>
  <c r="C28" i="41"/>
  <c r="M27" i="41"/>
  <c r="F27" i="41"/>
  <c r="C27" i="41"/>
  <c r="M26" i="41"/>
  <c r="F26" i="41"/>
  <c r="C26" i="41"/>
  <c r="M25" i="41"/>
  <c r="F25" i="41"/>
  <c r="C25" i="41"/>
  <c r="M39" i="41"/>
  <c r="F39" i="41"/>
  <c r="C39" i="41"/>
  <c r="M38" i="41"/>
  <c r="F38" i="41"/>
  <c r="C38" i="41"/>
  <c r="M37" i="41"/>
  <c r="F37" i="41"/>
  <c r="C37" i="41"/>
  <c r="M45" i="41"/>
  <c r="F45" i="41"/>
  <c r="C45" i="41"/>
  <c r="M44" i="41"/>
  <c r="F44" i="41"/>
  <c r="C44" i="41"/>
  <c r="M55" i="41"/>
  <c r="F55" i="41"/>
  <c r="C55" i="41"/>
  <c r="M54" i="41"/>
  <c r="F54" i="41"/>
  <c r="C54" i="41"/>
  <c r="M53" i="41"/>
  <c r="F53" i="41"/>
  <c r="C53" i="41"/>
  <c r="M52" i="41"/>
  <c r="F52" i="41"/>
  <c r="C52" i="41"/>
  <c r="M51" i="41"/>
  <c r="F51" i="41"/>
  <c r="C51" i="41"/>
  <c r="M50" i="41"/>
  <c r="F50" i="41"/>
  <c r="C50" i="41"/>
  <c r="M49" i="41"/>
  <c r="F49" i="41"/>
  <c r="C49" i="41"/>
  <c r="M48" i="41"/>
  <c r="F48" i="41"/>
  <c r="C48" i="41"/>
  <c r="M47" i="41"/>
  <c r="F47" i="41"/>
  <c r="C47" i="41"/>
  <c r="M46" i="41"/>
  <c r="F46" i="41"/>
  <c r="C46" i="41"/>
  <c r="M49" i="12"/>
  <c r="F49" i="12"/>
  <c r="C49" i="12"/>
  <c r="M48" i="12"/>
  <c r="F48" i="12"/>
  <c r="C48" i="12"/>
  <c r="M47" i="12"/>
  <c r="F47" i="12"/>
  <c r="C47" i="12"/>
  <c r="M46" i="12"/>
  <c r="F46" i="12"/>
  <c r="C46" i="12"/>
  <c r="M45" i="12"/>
  <c r="F45" i="12"/>
  <c r="C45" i="12"/>
  <c r="M44" i="12"/>
  <c r="F44" i="12"/>
  <c r="C44" i="12"/>
  <c r="M43" i="12"/>
  <c r="F43" i="12"/>
  <c r="C43" i="12"/>
  <c r="M42" i="12"/>
  <c r="F42" i="12"/>
  <c r="C42" i="12"/>
  <c r="M41" i="12"/>
  <c r="F41" i="12"/>
  <c r="C41" i="12"/>
  <c r="M34" i="12"/>
  <c r="F34" i="12"/>
  <c r="C34" i="12"/>
  <c r="M37" i="12"/>
  <c r="F37" i="12"/>
  <c r="C37" i="12"/>
  <c r="M27" i="12"/>
  <c r="F27" i="12"/>
  <c r="C27" i="12"/>
  <c r="C31" i="12"/>
  <c r="F31" i="12"/>
  <c r="M31" i="12"/>
  <c r="M39" i="12"/>
  <c r="C39" i="12"/>
  <c r="F39" i="12"/>
  <c r="M50" i="12"/>
  <c r="F50" i="12"/>
  <c r="C50" i="12"/>
  <c r="M40" i="12"/>
  <c r="F40" i="12"/>
  <c r="C40" i="12"/>
  <c r="M38" i="12"/>
  <c r="F38" i="12"/>
  <c r="C38" i="12"/>
  <c r="M33" i="12"/>
  <c r="F33" i="12"/>
  <c r="C33" i="12"/>
  <c r="M32" i="12"/>
  <c r="F32" i="12"/>
  <c r="C32" i="12"/>
  <c r="M30" i="12"/>
  <c r="F30" i="12"/>
  <c r="C30" i="12"/>
  <c r="M29" i="12"/>
  <c r="F29" i="12"/>
  <c r="C29" i="12"/>
  <c r="M28" i="12"/>
  <c r="F28" i="12"/>
  <c r="C28" i="12"/>
  <c r="M26" i="12"/>
  <c r="F26" i="12"/>
  <c r="C26" i="12"/>
  <c r="M25" i="12"/>
  <c r="F25" i="12"/>
  <c r="C25" i="12"/>
  <c r="M22" i="12"/>
  <c r="F22" i="12"/>
  <c r="C22" i="12"/>
  <c r="M23" i="12"/>
  <c r="F23" i="12"/>
  <c r="C23" i="12"/>
  <c r="P1" i="11"/>
  <c r="M22" i="11" l="1"/>
  <c r="M23" i="11"/>
  <c r="F22" i="11"/>
  <c r="C22" i="11"/>
  <c r="C23" i="11"/>
  <c r="M27" i="11"/>
  <c r="C27" i="11"/>
  <c r="F27" i="11"/>
  <c r="M30" i="11"/>
  <c r="F30" i="11"/>
  <c r="C30" i="11"/>
  <c r="M29" i="11"/>
  <c r="F29" i="11"/>
  <c r="C29" i="11"/>
  <c r="M28" i="11"/>
  <c r="F28" i="11"/>
  <c r="C28" i="11"/>
  <c r="M24" i="11"/>
  <c r="F24" i="11"/>
  <c r="C24" i="11"/>
  <c r="M36" i="28"/>
  <c r="M37" i="28"/>
  <c r="F36" i="28"/>
  <c r="F37" i="28"/>
  <c r="C36" i="28"/>
  <c r="C37" i="28"/>
  <c r="M40" i="28"/>
  <c r="M41" i="28"/>
  <c r="F40" i="28"/>
  <c r="F41" i="28"/>
  <c r="C40" i="28"/>
  <c r="C41" i="28"/>
  <c r="M28" i="40"/>
  <c r="F28" i="40"/>
  <c r="C28" i="40"/>
  <c r="M36" i="40"/>
  <c r="M37" i="40"/>
  <c r="F36" i="40"/>
  <c r="F37" i="40"/>
  <c r="C36" i="40"/>
  <c r="C37" i="40"/>
  <c r="M23" i="40"/>
  <c r="F23" i="40"/>
  <c r="C23" i="40"/>
  <c r="M27" i="40"/>
  <c r="F27" i="40"/>
  <c r="C27" i="40"/>
  <c r="M26" i="40"/>
  <c r="F26" i="40"/>
  <c r="C26" i="40"/>
  <c r="M25" i="40"/>
  <c r="F25" i="40"/>
  <c r="C25" i="40"/>
  <c r="M32" i="40"/>
  <c r="F32" i="40"/>
  <c r="C32" i="40"/>
  <c r="M31" i="40"/>
  <c r="F31" i="40"/>
  <c r="C31" i="40"/>
  <c r="M30" i="40"/>
  <c r="F30" i="40"/>
  <c r="C30" i="40"/>
  <c r="M35" i="40"/>
  <c r="F35" i="40"/>
  <c r="C35" i="40"/>
  <c r="M34" i="40"/>
  <c r="F34" i="40"/>
  <c r="C34" i="40"/>
  <c r="M38" i="40"/>
  <c r="F38" i="40"/>
  <c r="C38" i="40"/>
  <c r="F40" i="40"/>
  <c r="F41" i="40"/>
  <c r="C40" i="40"/>
  <c r="C41" i="40"/>
  <c r="M40" i="40"/>
  <c r="M41" i="40"/>
  <c r="C28" i="28" l="1"/>
  <c r="F28" i="28"/>
  <c r="M28" i="28"/>
  <c r="M22" i="28"/>
  <c r="F22" i="28"/>
  <c r="C22" i="28"/>
  <c r="M23" i="28"/>
  <c r="F23" i="28"/>
  <c r="C23" i="28"/>
  <c r="M27" i="28"/>
  <c r="F27" i="28"/>
  <c r="C27" i="28"/>
  <c r="M26" i="28"/>
  <c r="F26" i="28"/>
  <c r="C26" i="28"/>
  <c r="M25" i="28"/>
  <c r="F25" i="28"/>
  <c r="C25" i="28"/>
  <c r="M32" i="28"/>
  <c r="F32" i="28"/>
  <c r="C32" i="28"/>
  <c r="M31" i="28"/>
  <c r="F31" i="28"/>
  <c r="C31" i="28"/>
  <c r="M30" i="28"/>
  <c r="F30" i="28"/>
  <c r="C30" i="28"/>
  <c r="M38" i="28"/>
  <c r="F38" i="28"/>
  <c r="C38" i="28"/>
  <c r="M35" i="28"/>
  <c r="F35" i="28"/>
  <c r="C35" i="28"/>
  <c r="M34" i="28"/>
  <c r="F34" i="28"/>
  <c r="C34" i="28"/>
  <c r="M22" i="38" l="1"/>
  <c r="C22" i="38"/>
  <c r="F22" i="38"/>
  <c r="F22" i="39"/>
  <c r="F33" i="39"/>
  <c r="F34" i="39"/>
  <c r="F37" i="39"/>
  <c r="C37" i="39"/>
  <c r="M37" i="39"/>
  <c r="M33" i="39"/>
  <c r="M34" i="39"/>
  <c r="C33" i="39"/>
  <c r="C34" i="39"/>
  <c r="I22" i="39"/>
  <c r="K22" i="39" s="1"/>
  <c r="I22" i="38"/>
  <c r="K22" i="38" s="1"/>
  <c r="M48" i="39"/>
  <c r="F48" i="39"/>
  <c r="C48" i="39"/>
  <c r="M47" i="39"/>
  <c r="F47" i="39"/>
  <c r="C47" i="39"/>
  <c r="M46" i="39"/>
  <c r="F46" i="39"/>
  <c r="C46" i="39"/>
  <c r="M45" i="39"/>
  <c r="F45" i="39"/>
  <c r="C45" i="39"/>
  <c r="M44" i="39"/>
  <c r="F44" i="39"/>
  <c r="C44" i="39"/>
  <c r="M43" i="39"/>
  <c r="F43" i="39"/>
  <c r="C43" i="39"/>
  <c r="M42" i="39"/>
  <c r="F42" i="39"/>
  <c r="C42" i="39"/>
  <c r="M41" i="39"/>
  <c r="F41" i="39"/>
  <c r="C41" i="39"/>
  <c r="M40" i="39"/>
  <c r="F40" i="39"/>
  <c r="C40" i="39"/>
  <c r="M39" i="39"/>
  <c r="F39" i="39"/>
  <c r="C39" i="39"/>
  <c r="M38" i="39"/>
  <c r="F38" i="39"/>
  <c r="C38" i="39"/>
  <c r="M35" i="39"/>
  <c r="F35" i="39"/>
  <c r="C35" i="39"/>
  <c r="M32" i="39"/>
  <c r="F32" i="39"/>
  <c r="C32" i="39"/>
  <c r="M31" i="39"/>
  <c r="F31" i="39"/>
  <c r="C31" i="39"/>
  <c r="M26" i="39"/>
  <c r="F26" i="39"/>
  <c r="C26" i="39"/>
  <c r="M25" i="39"/>
  <c r="F25" i="39"/>
  <c r="C25" i="39"/>
  <c r="M24" i="39"/>
  <c r="F24" i="39"/>
  <c r="C24" i="39"/>
  <c r="M23" i="39"/>
  <c r="F23" i="39"/>
  <c r="C23" i="39"/>
  <c r="M48" i="38"/>
  <c r="F48" i="38"/>
  <c r="C48" i="38"/>
  <c r="M47" i="38"/>
  <c r="F47" i="38"/>
  <c r="C47" i="38"/>
  <c r="M46" i="38"/>
  <c r="F46" i="38"/>
  <c r="C46" i="38"/>
  <c r="M45" i="38"/>
  <c r="F45" i="38"/>
  <c r="C45" i="38"/>
  <c r="M44" i="38"/>
  <c r="F44" i="38"/>
  <c r="C44" i="38"/>
  <c r="M43" i="38"/>
  <c r="F43" i="38"/>
  <c r="C43" i="38"/>
  <c r="M42" i="38"/>
  <c r="F42" i="38"/>
  <c r="C42" i="38"/>
  <c r="M41" i="38"/>
  <c r="F41" i="38"/>
  <c r="C41" i="38"/>
  <c r="M40" i="38"/>
  <c r="F40" i="38"/>
  <c r="C40" i="38"/>
  <c r="M39" i="38"/>
  <c r="F39" i="38"/>
  <c r="C39" i="38"/>
  <c r="M38" i="38"/>
  <c r="F38" i="38"/>
  <c r="C38" i="38"/>
  <c r="M35" i="38"/>
  <c r="F35" i="38"/>
  <c r="C35" i="38"/>
  <c r="M32" i="38"/>
  <c r="F32" i="38"/>
  <c r="C32" i="38"/>
  <c r="M31" i="38"/>
  <c r="F31" i="38"/>
  <c r="C31" i="38"/>
  <c r="M26" i="38"/>
  <c r="F26" i="38"/>
  <c r="C26" i="38"/>
  <c r="M25" i="38"/>
  <c r="F25" i="38"/>
  <c r="C25" i="38"/>
  <c r="M24" i="38"/>
  <c r="F24" i="38"/>
  <c r="C24" i="38"/>
  <c r="M23" i="38"/>
  <c r="F23" i="38"/>
  <c r="C23" i="38"/>
  <c r="M48" i="2"/>
  <c r="F48" i="2"/>
  <c r="C48" i="2"/>
  <c r="M47" i="2"/>
  <c r="F47" i="2"/>
  <c r="C47" i="2"/>
  <c r="M46" i="2"/>
  <c r="F46" i="2"/>
  <c r="C46" i="2"/>
  <c r="M45" i="2"/>
  <c r="F45" i="2"/>
  <c r="C45" i="2"/>
  <c r="M44" i="2"/>
  <c r="F44" i="2"/>
  <c r="C44" i="2"/>
  <c r="M43" i="2"/>
  <c r="F43" i="2"/>
  <c r="C43" i="2"/>
  <c r="M42" i="2"/>
  <c r="F42" i="2"/>
  <c r="C42" i="2"/>
  <c r="M41" i="2"/>
  <c r="F41" i="2"/>
  <c r="C41" i="2"/>
  <c r="M40" i="2"/>
  <c r="F40" i="2"/>
  <c r="C40" i="2"/>
  <c r="M39" i="2"/>
  <c r="F39" i="2"/>
  <c r="C39" i="2"/>
  <c r="M38" i="2"/>
  <c r="F38" i="2"/>
  <c r="C38" i="2"/>
  <c r="M35" i="2"/>
  <c r="F35" i="2"/>
  <c r="C35" i="2"/>
  <c r="M32" i="2"/>
  <c r="F32" i="2"/>
  <c r="C32" i="2"/>
  <c r="M31" i="2"/>
  <c r="F31" i="2"/>
  <c r="C31" i="2"/>
  <c r="M26" i="2"/>
  <c r="F26" i="2"/>
  <c r="C26" i="2"/>
  <c r="M25" i="2"/>
  <c r="F25" i="2"/>
  <c r="C25" i="2"/>
  <c r="M24" i="2"/>
  <c r="F24" i="2"/>
  <c r="C24" i="2"/>
  <c r="M23" i="2"/>
  <c r="F23" i="2"/>
  <c r="C23" i="2"/>
  <c r="I28" i="40"/>
  <c r="B60" i="10"/>
  <c r="B46" i="10"/>
  <c r="M50" i="40"/>
  <c r="F50" i="40"/>
  <c r="C50" i="40"/>
  <c r="M49" i="40"/>
  <c r="F49" i="40"/>
  <c r="C49" i="40"/>
  <c r="M48" i="40"/>
  <c r="F48" i="40"/>
  <c r="C48" i="40"/>
  <c r="M47" i="40"/>
  <c r="F47" i="40"/>
  <c r="C47" i="40"/>
  <c r="M46" i="40"/>
  <c r="F46" i="40"/>
  <c r="C46" i="40"/>
  <c r="M45" i="40"/>
  <c r="F45" i="40"/>
  <c r="C45" i="40"/>
  <c r="M44" i="40"/>
  <c r="F44" i="40"/>
  <c r="C44" i="40"/>
  <c r="M43" i="40"/>
  <c r="F43" i="40"/>
  <c r="C43" i="40"/>
  <c r="M42" i="40"/>
  <c r="F42" i="40"/>
  <c r="C42" i="40"/>
  <c r="M50" i="28"/>
  <c r="F50" i="28"/>
  <c r="C50" i="28"/>
  <c r="M49" i="28"/>
  <c r="F49" i="28"/>
  <c r="C49" i="28"/>
  <c r="M48" i="28"/>
  <c r="F48" i="28"/>
  <c r="C48" i="28"/>
  <c r="M47" i="28"/>
  <c r="F47" i="28"/>
  <c r="C47" i="28"/>
  <c r="M46" i="28"/>
  <c r="F46" i="28"/>
  <c r="C46" i="28"/>
  <c r="M45" i="28"/>
  <c r="F45" i="28"/>
  <c r="C45" i="28"/>
  <c r="M44" i="28"/>
  <c r="F44" i="28"/>
  <c r="C44" i="28"/>
  <c r="M43" i="28"/>
  <c r="F43" i="28"/>
  <c r="C43" i="28"/>
  <c r="M42" i="28"/>
  <c r="F42" i="28"/>
  <c r="C42" i="28"/>
  <c r="P23" i="40"/>
  <c r="Y1" i="40"/>
  <c r="P23" i="28"/>
  <c r="I22" i="28"/>
  <c r="K22" i="28" s="1"/>
  <c r="L22" i="28" s="1"/>
  <c r="Y1" i="28"/>
  <c r="Y1" i="39"/>
  <c r="Y1" i="38"/>
  <c r="P16" i="2"/>
  <c r="P8" i="2"/>
  <c r="P1" i="2"/>
  <c r="X22" i="10"/>
  <c r="Y1" i="35"/>
  <c r="Y1" i="34" l="1"/>
  <c r="Y1" i="4"/>
  <c r="Y1" i="33"/>
  <c r="P9" i="33"/>
  <c r="I65" i="1" l="1"/>
  <c r="I22" i="2" l="1"/>
  <c r="Y1" i="2"/>
  <c r="C31" i="4"/>
  <c r="M22" i="4"/>
  <c r="F31" i="4"/>
  <c r="M31" i="4"/>
  <c r="F39" i="4"/>
  <c r="C39" i="4"/>
  <c r="M39" i="4"/>
  <c r="M40" i="4"/>
  <c r="F40" i="4"/>
  <c r="C40" i="4"/>
  <c r="M37" i="4"/>
  <c r="F37" i="4"/>
  <c r="C37" i="4"/>
  <c r="M36" i="4"/>
  <c r="F36" i="4"/>
  <c r="C36" i="4"/>
  <c r="M35" i="4"/>
  <c r="F35" i="4"/>
  <c r="C35" i="4"/>
  <c r="M34" i="4"/>
  <c r="F34" i="4"/>
  <c r="C34" i="4"/>
  <c r="M33" i="4"/>
  <c r="F33" i="4"/>
  <c r="C33" i="4"/>
  <c r="M32" i="4"/>
  <c r="F32" i="4"/>
  <c r="C32" i="4"/>
  <c r="M29" i="4"/>
  <c r="F29" i="4"/>
  <c r="C29" i="4"/>
  <c r="M28" i="4"/>
  <c r="F28" i="4"/>
  <c r="C28" i="4"/>
  <c r="M27" i="4"/>
  <c r="F27" i="4"/>
  <c r="C27" i="4"/>
  <c r="K41" i="10"/>
  <c r="M41" i="10"/>
  <c r="F41" i="10"/>
  <c r="C41" i="10"/>
  <c r="Y22" i="10" s="1"/>
  <c r="M57" i="10"/>
  <c r="F57" i="10"/>
  <c r="C57" i="10"/>
  <c r="M56" i="10"/>
  <c r="F56" i="10"/>
  <c r="C56" i="10"/>
  <c r="M55" i="10"/>
  <c r="F55" i="10"/>
  <c r="C55" i="10"/>
  <c r="M54" i="10"/>
  <c r="F54" i="10"/>
  <c r="C54" i="10"/>
  <c r="M53" i="10"/>
  <c r="F53" i="10"/>
  <c r="C53" i="10"/>
  <c r="M52" i="10"/>
  <c r="F52" i="10"/>
  <c r="C52" i="10"/>
  <c r="M51" i="10"/>
  <c r="F51" i="10"/>
  <c r="C51" i="10"/>
  <c r="M50" i="10"/>
  <c r="F50" i="10"/>
  <c r="C50" i="10"/>
  <c r="M49" i="10"/>
  <c r="F49" i="10"/>
  <c r="C49" i="10"/>
  <c r="M33" i="10"/>
  <c r="F33" i="10"/>
  <c r="C33" i="10"/>
  <c r="C36" i="10"/>
  <c r="R1" i="10" s="1"/>
  <c r="F36" i="10"/>
  <c r="M36" i="10"/>
  <c r="M40" i="10"/>
  <c r="M42" i="10"/>
  <c r="M43" i="10"/>
  <c r="M47" i="10"/>
  <c r="C40" i="10"/>
  <c r="F40" i="10"/>
  <c r="C42" i="10"/>
  <c r="F42" i="10"/>
  <c r="C43" i="10"/>
  <c r="F43" i="10"/>
  <c r="C47" i="10"/>
  <c r="F47" i="10"/>
  <c r="M58" i="10"/>
  <c r="F58" i="10"/>
  <c r="C58" i="10"/>
  <c r="M48" i="10"/>
  <c r="F48" i="10"/>
  <c r="C48" i="10"/>
  <c r="M45" i="10"/>
  <c r="F45" i="10"/>
  <c r="C45" i="10"/>
  <c r="M44" i="10"/>
  <c r="F44" i="10"/>
  <c r="C44" i="10"/>
  <c r="M39" i="10"/>
  <c r="F39" i="10"/>
  <c r="C39" i="10"/>
  <c r="M35" i="10"/>
  <c r="F35" i="10"/>
  <c r="C35" i="10"/>
  <c r="M34" i="10"/>
  <c r="F34" i="10"/>
  <c r="C34" i="10"/>
  <c r="M32" i="10"/>
  <c r="F32" i="10"/>
  <c r="C32" i="10"/>
  <c r="M31" i="10"/>
  <c r="F31" i="10"/>
  <c r="C31" i="10"/>
  <c r="M30" i="10"/>
  <c r="F30" i="10"/>
  <c r="C30" i="10"/>
  <c r="M29" i="10"/>
  <c r="F29" i="10"/>
  <c r="C29" i="10"/>
  <c r="M28" i="10"/>
  <c r="F28" i="10"/>
  <c r="C28" i="10"/>
  <c r="M27" i="10"/>
  <c r="F27" i="10"/>
  <c r="C27" i="10"/>
  <c r="M26" i="10"/>
  <c r="F26" i="10"/>
  <c r="C26" i="10"/>
  <c r="M24" i="10"/>
  <c r="F24" i="10"/>
  <c r="C24" i="10"/>
  <c r="M23" i="10"/>
  <c r="F23" i="10"/>
  <c r="C23" i="10"/>
  <c r="M22" i="10"/>
  <c r="F22" i="10"/>
  <c r="C22" i="10"/>
  <c r="M22" i="3" l="1"/>
  <c r="M22" i="37"/>
  <c r="M22" i="36"/>
  <c r="B51" i="37"/>
  <c r="K50" i="37"/>
  <c r="K49" i="37"/>
  <c r="K48" i="37"/>
  <c r="B47" i="37"/>
  <c r="M46" i="37"/>
  <c r="F46" i="37"/>
  <c r="C46" i="37"/>
  <c r="M45" i="37"/>
  <c r="F45" i="37"/>
  <c r="C45" i="37"/>
  <c r="M44" i="37"/>
  <c r="F44" i="37"/>
  <c r="C44" i="37"/>
  <c r="M43" i="37"/>
  <c r="F43" i="37"/>
  <c r="C43" i="37"/>
  <c r="M42" i="37"/>
  <c r="F42" i="37"/>
  <c r="C42" i="37"/>
  <c r="M41" i="37"/>
  <c r="F41" i="37"/>
  <c r="C41" i="37"/>
  <c r="M40" i="37"/>
  <c r="F40" i="37"/>
  <c r="C40" i="37"/>
  <c r="M39" i="37"/>
  <c r="F39" i="37"/>
  <c r="C39" i="37"/>
  <c r="M38" i="37"/>
  <c r="F38" i="37"/>
  <c r="C38" i="37"/>
  <c r="M37" i="37"/>
  <c r="F37" i="37"/>
  <c r="C37" i="37"/>
  <c r="M36" i="37"/>
  <c r="F36" i="37"/>
  <c r="C36" i="37"/>
  <c r="M35" i="37"/>
  <c r="C35" i="37"/>
  <c r="B34" i="37"/>
  <c r="M33" i="37"/>
  <c r="F33" i="37"/>
  <c r="C33" i="37"/>
  <c r="M32" i="37"/>
  <c r="F32" i="37"/>
  <c r="C32" i="37"/>
  <c r="M31" i="37"/>
  <c r="F31" i="37"/>
  <c r="C31" i="37"/>
  <c r="M30" i="37"/>
  <c r="C30" i="37"/>
  <c r="M29" i="37"/>
  <c r="F29" i="37"/>
  <c r="C29" i="37"/>
  <c r="M28" i="37"/>
  <c r="F28" i="37"/>
  <c r="C28" i="37"/>
  <c r="M27" i="37"/>
  <c r="F27" i="37"/>
  <c r="C27" i="37"/>
  <c r="B26" i="37"/>
  <c r="K25" i="37"/>
  <c r="K24" i="37"/>
  <c r="B23" i="37"/>
  <c r="I22" i="37"/>
  <c r="K22" i="37" s="1"/>
  <c r="C22" i="37"/>
  <c r="B51" i="36"/>
  <c r="K50" i="36"/>
  <c r="K49" i="36"/>
  <c r="K48" i="36"/>
  <c r="B47" i="36"/>
  <c r="M46" i="36"/>
  <c r="F46" i="36"/>
  <c r="C46" i="36"/>
  <c r="M45" i="36"/>
  <c r="F45" i="36"/>
  <c r="C45" i="36"/>
  <c r="M44" i="36"/>
  <c r="F44" i="36"/>
  <c r="C44" i="36"/>
  <c r="M43" i="36"/>
  <c r="F43" i="36"/>
  <c r="C43" i="36"/>
  <c r="M42" i="36"/>
  <c r="F42" i="36"/>
  <c r="C42" i="36"/>
  <c r="M41" i="36"/>
  <c r="F41" i="36"/>
  <c r="C41" i="36"/>
  <c r="M40" i="36"/>
  <c r="F40" i="36"/>
  <c r="C40" i="36"/>
  <c r="M39" i="36"/>
  <c r="F39" i="36"/>
  <c r="C39" i="36"/>
  <c r="M38" i="36"/>
  <c r="F38" i="36"/>
  <c r="C38" i="36"/>
  <c r="M37" i="36"/>
  <c r="F37" i="36"/>
  <c r="C37" i="36"/>
  <c r="M36" i="36"/>
  <c r="F36" i="36"/>
  <c r="C36" i="36"/>
  <c r="M35" i="36"/>
  <c r="C35" i="36"/>
  <c r="B34" i="36"/>
  <c r="M33" i="36"/>
  <c r="F33" i="36"/>
  <c r="C33" i="36"/>
  <c r="M32" i="36"/>
  <c r="F32" i="36"/>
  <c r="C32" i="36"/>
  <c r="M31" i="36"/>
  <c r="F31" i="36"/>
  <c r="C31" i="36"/>
  <c r="M30" i="36"/>
  <c r="C30" i="36"/>
  <c r="M29" i="36"/>
  <c r="F29" i="36"/>
  <c r="C29" i="36"/>
  <c r="M28" i="36"/>
  <c r="F28" i="36"/>
  <c r="C28" i="36"/>
  <c r="M27" i="36"/>
  <c r="F27" i="36"/>
  <c r="C27" i="36"/>
  <c r="B26" i="36"/>
  <c r="K25" i="36"/>
  <c r="K26" i="36" s="1"/>
  <c r="K24" i="36"/>
  <c r="B23" i="36"/>
  <c r="I22" i="36"/>
  <c r="K22" i="36" s="1"/>
  <c r="C22" i="36"/>
  <c r="M45" i="3"/>
  <c r="F45" i="3"/>
  <c r="C45" i="3"/>
  <c r="M44" i="3"/>
  <c r="F44" i="3"/>
  <c r="C44" i="3"/>
  <c r="M43" i="3"/>
  <c r="F43" i="3"/>
  <c r="C43" i="3"/>
  <c r="M42" i="3"/>
  <c r="F42" i="3"/>
  <c r="C42" i="3"/>
  <c r="M41" i="3"/>
  <c r="F41" i="3"/>
  <c r="C41" i="3"/>
  <c r="M40" i="3"/>
  <c r="F40" i="3"/>
  <c r="C40" i="3"/>
  <c r="M39" i="3"/>
  <c r="F39" i="3"/>
  <c r="C39" i="3"/>
  <c r="M38" i="3"/>
  <c r="F38" i="3"/>
  <c r="C38" i="3"/>
  <c r="M37" i="3"/>
  <c r="F37" i="3"/>
  <c r="C37" i="3"/>
  <c r="C46" i="3"/>
  <c r="F46" i="3"/>
  <c r="M46" i="3"/>
  <c r="C35" i="3"/>
  <c r="M35" i="3"/>
  <c r="C30" i="3"/>
  <c r="C31" i="3"/>
  <c r="M30" i="3"/>
  <c r="M31" i="3"/>
  <c r="M36" i="3"/>
  <c r="F36" i="3"/>
  <c r="C36" i="3"/>
  <c r="M33" i="3"/>
  <c r="F33" i="3"/>
  <c r="C33" i="3"/>
  <c r="M32" i="3"/>
  <c r="F32" i="3"/>
  <c r="C32" i="3"/>
  <c r="F31" i="3"/>
  <c r="M29" i="3"/>
  <c r="F29" i="3"/>
  <c r="C29" i="3"/>
  <c r="M28" i="3"/>
  <c r="F28" i="3"/>
  <c r="C28" i="3"/>
  <c r="M27" i="3"/>
  <c r="F27" i="3"/>
  <c r="C27" i="3"/>
  <c r="M22" i="35"/>
  <c r="I22" i="3"/>
  <c r="K22" i="3" s="1"/>
  <c r="L22" i="3" s="1"/>
  <c r="C22" i="3"/>
  <c r="M51" i="4"/>
  <c r="F51" i="4"/>
  <c r="C51" i="4"/>
  <c r="M51" i="35"/>
  <c r="F51" i="35"/>
  <c r="C51" i="35"/>
  <c r="M49" i="35"/>
  <c r="F49" i="35"/>
  <c r="C49" i="35"/>
  <c r="M48" i="35"/>
  <c r="F48" i="35"/>
  <c r="C48" i="35"/>
  <c r="M47" i="35"/>
  <c r="F47" i="35"/>
  <c r="C47" i="35"/>
  <c r="M46" i="35"/>
  <c r="F46" i="35"/>
  <c r="C46" i="35"/>
  <c r="M45" i="35"/>
  <c r="F45" i="35"/>
  <c r="C45" i="35"/>
  <c r="M44" i="35"/>
  <c r="F44" i="35"/>
  <c r="C44" i="35"/>
  <c r="M43" i="35"/>
  <c r="F43" i="35"/>
  <c r="C43" i="35"/>
  <c r="M42" i="35"/>
  <c r="F42" i="35"/>
  <c r="C42" i="35"/>
  <c r="M41" i="35"/>
  <c r="F41" i="35"/>
  <c r="C41" i="35"/>
  <c r="M40" i="35"/>
  <c r="F40" i="35"/>
  <c r="C40" i="35"/>
  <c r="M39" i="35"/>
  <c r="F39" i="35"/>
  <c r="C39" i="35"/>
  <c r="C39" i="34"/>
  <c r="F39" i="34"/>
  <c r="M39" i="34"/>
  <c r="C40" i="34"/>
  <c r="F40" i="34"/>
  <c r="M40" i="34"/>
  <c r="C41" i="34"/>
  <c r="F41" i="34"/>
  <c r="M41" i="34"/>
  <c r="C42" i="34"/>
  <c r="F42" i="34"/>
  <c r="M42" i="34"/>
  <c r="C43" i="34"/>
  <c r="F43" i="34"/>
  <c r="M43" i="34"/>
  <c r="C44" i="34"/>
  <c r="F44" i="34"/>
  <c r="M44" i="34"/>
  <c r="C45" i="34"/>
  <c r="F45" i="34"/>
  <c r="M45" i="34"/>
  <c r="C46" i="34"/>
  <c r="F46" i="34"/>
  <c r="M46" i="34"/>
  <c r="C47" i="34"/>
  <c r="F47" i="34"/>
  <c r="M47" i="34"/>
  <c r="C48" i="34"/>
  <c r="F48" i="34"/>
  <c r="M48" i="34"/>
  <c r="M37" i="35"/>
  <c r="F37" i="35"/>
  <c r="C37" i="35"/>
  <c r="M36" i="35"/>
  <c r="F36" i="35"/>
  <c r="C36" i="35"/>
  <c r="M35" i="35"/>
  <c r="F35" i="35"/>
  <c r="C35" i="35"/>
  <c r="M34" i="35"/>
  <c r="F34" i="35"/>
  <c r="C34" i="35"/>
  <c r="M33" i="35"/>
  <c r="F33" i="35"/>
  <c r="C33" i="35"/>
  <c r="M32" i="35"/>
  <c r="F32" i="35"/>
  <c r="C32" i="35"/>
  <c r="M31" i="35"/>
  <c r="F31" i="35"/>
  <c r="C31" i="35"/>
  <c r="M29" i="35"/>
  <c r="F29" i="35"/>
  <c r="C29" i="35"/>
  <c r="M28" i="35"/>
  <c r="F28" i="35"/>
  <c r="C28" i="35"/>
  <c r="M27" i="35"/>
  <c r="F27" i="35"/>
  <c r="C27" i="35"/>
  <c r="B55" i="35"/>
  <c r="K54" i="35"/>
  <c r="K53" i="35"/>
  <c r="K52" i="35"/>
  <c r="B50" i="35"/>
  <c r="B38" i="35"/>
  <c r="B26" i="35"/>
  <c r="K25" i="35"/>
  <c r="K24" i="35"/>
  <c r="K26" i="35" s="1"/>
  <c r="B23" i="35"/>
  <c r="I22" i="35"/>
  <c r="K22" i="35" s="1"/>
  <c r="K23" i="35" s="1"/>
  <c r="C22" i="35"/>
  <c r="M31" i="34"/>
  <c r="M22" i="34"/>
  <c r="C31" i="34"/>
  <c r="F31" i="34"/>
  <c r="M37" i="34"/>
  <c r="F37" i="34"/>
  <c r="C37" i="34"/>
  <c r="M36" i="34"/>
  <c r="F36" i="34"/>
  <c r="C36" i="34"/>
  <c r="M35" i="34"/>
  <c r="F35" i="34"/>
  <c r="C35" i="34"/>
  <c r="M34" i="34"/>
  <c r="F34" i="34"/>
  <c r="C34" i="34"/>
  <c r="M33" i="34"/>
  <c r="F33" i="34"/>
  <c r="C33" i="34"/>
  <c r="M32" i="34"/>
  <c r="F32" i="34"/>
  <c r="C32" i="34"/>
  <c r="M29" i="34"/>
  <c r="F29" i="34"/>
  <c r="C29" i="34"/>
  <c r="M28" i="34"/>
  <c r="F28" i="34"/>
  <c r="C28" i="34"/>
  <c r="M27" i="34"/>
  <c r="F27" i="34"/>
  <c r="C27" i="34"/>
  <c r="M51" i="34"/>
  <c r="F51" i="34"/>
  <c r="C51" i="34"/>
  <c r="M49" i="34"/>
  <c r="F49" i="34"/>
  <c r="C49" i="34"/>
  <c r="M49" i="4"/>
  <c r="F49" i="4"/>
  <c r="C49" i="4"/>
  <c r="M48" i="4"/>
  <c r="F48" i="4"/>
  <c r="C48" i="4"/>
  <c r="M47" i="4"/>
  <c r="F47" i="4"/>
  <c r="C47" i="4"/>
  <c r="M46" i="4"/>
  <c r="F46" i="4"/>
  <c r="C46" i="4"/>
  <c r="M45" i="4"/>
  <c r="F45" i="4"/>
  <c r="C45" i="4"/>
  <c r="M44" i="4"/>
  <c r="F44" i="4"/>
  <c r="C44" i="4"/>
  <c r="M43" i="4"/>
  <c r="F43" i="4"/>
  <c r="C43" i="4"/>
  <c r="M42" i="4"/>
  <c r="F42" i="4"/>
  <c r="C42" i="4"/>
  <c r="M41" i="4"/>
  <c r="F41" i="4"/>
  <c r="C41" i="4"/>
  <c r="K26" i="37" l="1"/>
  <c r="K51" i="36"/>
  <c r="K51" i="37"/>
  <c r="L22" i="37"/>
  <c r="K23" i="37"/>
  <c r="K23" i="36"/>
  <c r="L22" i="36"/>
  <c r="C22" i="34"/>
  <c r="I22" i="33"/>
  <c r="I22" i="4"/>
  <c r="C22" i="4"/>
  <c r="I129" i="1" l="1"/>
  <c r="I128" i="1"/>
  <c r="I127" i="1"/>
  <c r="I126" i="1"/>
  <c r="I125" i="1"/>
  <c r="I124" i="1"/>
  <c r="I123" i="1"/>
  <c r="I122" i="1"/>
  <c r="I121" i="1"/>
  <c r="I120" i="1"/>
  <c r="I119" i="1"/>
  <c r="I118" i="1"/>
  <c r="I117" i="1"/>
  <c r="I116" i="1"/>
  <c r="I115" i="1"/>
  <c r="I114" i="1"/>
  <c r="I113" i="1"/>
  <c r="I112" i="1"/>
  <c r="I111" i="1"/>
  <c r="I110" i="1"/>
  <c r="I109" i="1"/>
  <c r="I108" i="1"/>
  <c r="I107" i="1"/>
  <c r="I106" i="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4" i="1"/>
  <c r="I63" i="1"/>
  <c r="I62" i="1"/>
  <c r="I61" i="1"/>
  <c r="I60" i="1"/>
  <c r="I59" i="1"/>
  <c r="I58" i="1"/>
  <c r="I57" i="1"/>
  <c r="I56" i="1"/>
  <c r="I55" i="1"/>
  <c r="I54" i="1"/>
  <c r="I53" i="1"/>
  <c r="I52" i="1"/>
  <c r="I51" i="1"/>
  <c r="I50" i="1"/>
  <c r="I49" i="1"/>
  <c r="I48" i="1"/>
  <c r="I47" i="1"/>
  <c r="I46" i="1"/>
  <c r="I45" i="1"/>
  <c r="I44" i="1"/>
  <c r="I43" i="1"/>
  <c r="I42" i="1"/>
  <c r="I41" i="1"/>
  <c r="I40" i="1"/>
  <c r="I39" i="1"/>
  <c r="I38" i="1"/>
  <c r="I36" i="1"/>
  <c r="I35" i="1"/>
  <c r="I34" i="1"/>
  <c r="I33" i="1"/>
  <c r="I32" i="1"/>
  <c r="I31" i="1"/>
  <c r="I30" i="1"/>
  <c r="I29" i="1"/>
  <c r="I28" i="1"/>
  <c r="I27" i="1"/>
  <c r="I26" i="1"/>
  <c r="I24" i="1"/>
  <c r="I23" i="1"/>
  <c r="I22" i="1"/>
  <c r="I21" i="1"/>
  <c r="I20" i="1"/>
  <c r="I19" i="1"/>
  <c r="I18" i="1"/>
  <c r="I17" i="1"/>
  <c r="I16" i="1"/>
  <c r="I15" i="1"/>
  <c r="I14" i="1"/>
  <c r="I13" i="1"/>
  <c r="I12" i="1"/>
  <c r="I11" i="1"/>
  <c r="I10" i="1"/>
  <c r="M52" i="33" l="1"/>
  <c r="M51" i="33"/>
  <c r="M50" i="33"/>
  <c r="M49" i="33"/>
  <c r="M48" i="33"/>
  <c r="M47" i="33"/>
  <c r="M46" i="33"/>
  <c r="M45" i="33"/>
  <c r="M44" i="33"/>
  <c r="M43" i="33"/>
  <c r="M42" i="33"/>
  <c r="M40" i="33"/>
  <c r="M39" i="33"/>
  <c r="M37" i="33"/>
  <c r="M36" i="33"/>
  <c r="M35" i="33"/>
  <c r="M34" i="33"/>
  <c r="M32" i="33"/>
  <c r="M31" i="33"/>
  <c r="F23" i="33"/>
  <c r="F22" i="33"/>
  <c r="F32" i="33"/>
  <c r="F31" i="33"/>
  <c r="F37" i="33"/>
  <c r="F36" i="33"/>
  <c r="F35" i="33"/>
  <c r="F34" i="33"/>
  <c r="C37" i="33"/>
  <c r="C36" i="33"/>
  <c r="R9" i="33" s="1"/>
  <c r="C35" i="33"/>
  <c r="C34" i="33"/>
  <c r="C32" i="33"/>
  <c r="C31" i="33"/>
  <c r="M23" i="33"/>
  <c r="M22" i="33"/>
  <c r="C23" i="33"/>
  <c r="C22" i="33"/>
  <c r="O122" i="1" l="1"/>
  <c r="Q122" i="1"/>
  <c r="Q123" i="1"/>
  <c r="Q124" i="1"/>
  <c r="O125" i="1"/>
  <c r="Q125" i="1"/>
  <c r="O126" i="1"/>
  <c r="Q126" i="1"/>
  <c r="O127" i="1"/>
  <c r="Q127" i="1"/>
  <c r="O128" i="1"/>
  <c r="Q128" i="1"/>
  <c r="O129" i="1"/>
  <c r="Q129" i="1"/>
  <c r="O114" i="1"/>
  <c r="Q114" i="1"/>
  <c r="O115" i="1"/>
  <c r="Q115" i="1"/>
  <c r="O116" i="1"/>
  <c r="Q116" i="1"/>
  <c r="O117" i="1"/>
  <c r="Q117" i="1"/>
  <c r="O118" i="1"/>
  <c r="Q118" i="1"/>
  <c r="O119" i="1"/>
  <c r="Q119" i="1"/>
  <c r="O120" i="1"/>
  <c r="Q120" i="1"/>
  <c r="O121" i="1"/>
  <c r="Q121" i="1"/>
  <c r="AL114" i="1"/>
  <c r="AM114" i="1"/>
  <c r="AL115" i="1"/>
  <c r="AM115" i="1"/>
  <c r="AL116" i="1"/>
  <c r="AM116" i="1"/>
  <c r="AL117" i="1"/>
  <c r="AM117" i="1"/>
  <c r="AL118" i="1"/>
  <c r="AM118" i="1"/>
  <c r="AL119" i="1"/>
  <c r="AM119" i="1"/>
  <c r="AL120" i="1"/>
  <c r="AM120" i="1"/>
  <c r="AL121" i="1"/>
  <c r="AM121" i="1"/>
  <c r="AL122" i="1"/>
  <c r="AM122" i="1"/>
  <c r="AL123" i="1"/>
  <c r="AM123" i="1"/>
  <c r="AL124" i="1"/>
  <c r="AM124" i="1"/>
  <c r="AL125" i="1"/>
  <c r="AM125" i="1"/>
  <c r="AL126" i="1"/>
  <c r="AM126" i="1"/>
  <c r="AL127" i="1"/>
  <c r="AM127" i="1"/>
  <c r="AL128" i="1"/>
  <c r="AM128" i="1"/>
  <c r="AL129" i="1"/>
  <c r="AM129" i="1"/>
  <c r="AL131" i="1"/>
  <c r="AM131" i="1"/>
  <c r="AL132" i="1"/>
  <c r="AM132" i="1"/>
  <c r="AL133" i="1"/>
  <c r="AM133" i="1"/>
  <c r="AL134" i="1"/>
  <c r="AM134" i="1"/>
  <c r="AL135" i="1"/>
  <c r="AM135" i="1"/>
  <c r="AL136" i="1"/>
  <c r="AM136" i="1"/>
  <c r="AL137" i="1"/>
  <c r="AM137" i="1"/>
  <c r="AL138" i="1"/>
  <c r="AM138" i="1"/>
  <c r="AL139" i="1"/>
  <c r="AM139" i="1"/>
  <c r="AL140" i="1"/>
  <c r="AM140" i="1"/>
  <c r="AL141" i="1"/>
  <c r="AM141" i="1"/>
  <c r="AL142" i="1"/>
  <c r="AM142" i="1"/>
  <c r="AL144" i="1"/>
  <c r="AM144" i="1"/>
  <c r="AL145" i="1"/>
  <c r="AM145" i="1"/>
  <c r="AL146" i="1"/>
  <c r="AM146" i="1"/>
  <c r="AL147" i="1"/>
  <c r="AM147" i="1"/>
  <c r="AL148" i="1"/>
  <c r="AM148" i="1"/>
  <c r="AL149" i="1"/>
  <c r="AM149" i="1"/>
  <c r="AL150" i="1"/>
  <c r="AM150" i="1"/>
  <c r="AL151" i="1"/>
  <c r="AM151" i="1"/>
  <c r="AL152" i="1"/>
  <c r="AM152" i="1"/>
  <c r="AM11" i="1" l="1"/>
  <c r="AM12" i="1"/>
  <c r="AM13" i="1"/>
  <c r="AM14" i="1"/>
  <c r="AM15" i="1"/>
  <c r="AM16" i="1"/>
  <c r="AM17" i="1"/>
  <c r="AM18" i="1"/>
  <c r="AM19" i="1"/>
  <c r="AM20" i="1"/>
  <c r="AM21" i="1"/>
  <c r="AM22" i="1"/>
  <c r="AM23" i="1"/>
  <c r="AM24" i="1"/>
  <c r="AM26" i="1"/>
  <c r="AM27" i="1"/>
  <c r="AM28" i="1"/>
  <c r="AM29" i="1"/>
  <c r="AM30" i="1"/>
  <c r="AM31" i="1"/>
  <c r="AM32" i="1"/>
  <c r="AM33" i="1"/>
  <c r="AM34" i="1"/>
  <c r="AM35" i="1"/>
  <c r="AM36" i="1"/>
  <c r="AM37" i="1"/>
  <c r="AM38" i="1"/>
  <c r="AM39" i="1"/>
  <c r="AM40" i="1"/>
  <c r="AM41" i="1"/>
  <c r="AM42" i="1"/>
  <c r="AM43" i="1"/>
  <c r="AM44" i="1"/>
  <c r="AM45" i="1"/>
  <c r="AM46" i="1"/>
  <c r="AM47" i="1"/>
  <c r="AM48" i="1"/>
  <c r="AM49" i="1"/>
  <c r="AM50" i="1"/>
  <c r="AM51" i="1"/>
  <c r="AM52" i="1"/>
  <c r="AM53" i="1"/>
  <c r="AM54" i="1"/>
  <c r="AM55" i="1"/>
  <c r="AM56" i="1"/>
  <c r="AM57" i="1"/>
  <c r="AM58" i="1"/>
  <c r="AM59" i="1"/>
  <c r="AM60" i="1"/>
  <c r="AM61" i="1"/>
  <c r="AM62" i="1"/>
  <c r="AM63" i="1"/>
  <c r="AM64" i="1"/>
  <c r="AM65" i="1"/>
  <c r="AM66" i="1"/>
  <c r="AM67" i="1"/>
  <c r="AM68" i="1"/>
  <c r="AM69" i="1"/>
  <c r="AM70" i="1"/>
  <c r="AM71" i="1"/>
  <c r="AM72" i="1"/>
  <c r="AM73" i="1"/>
  <c r="AM74" i="1"/>
  <c r="AM75" i="1"/>
  <c r="AM76" i="1"/>
  <c r="AM77" i="1"/>
  <c r="AM78" i="1"/>
  <c r="AM79" i="1"/>
  <c r="AM80" i="1"/>
  <c r="AM81" i="1"/>
  <c r="AM82" i="1"/>
  <c r="AM83" i="1"/>
  <c r="AM84" i="1"/>
  <c r="AM85" i="1"/>
  <c r="AM86" i="1"/>
  <c r="AM87" i="1"/>
  <c r="AM88" i="1"/>
  <c r="AM89" i="1"/>
  <c r="AM90" i="1"/>
  <c r="AM91" i="1"/>
  <c r="AM92" i="1"/>
  <c r="AM93" i="1"/>
  <c r="AM94" i="1"/>
  <c r="AM95" i="1"/>
  <c r="AM96" i="1"/>
  <c r="AM97" i="1"/>
  <c r="AM98" i="1"/>
  <c r="AM99" i="1"/>
  <c r="AM100" i="1"/>
  <c r="AM101" i="1"/>
  <c r="AM102" i="1"/>
  <c r="AM103" i="1"/>
  <c r="AM104" i="1"/>
  <c r="AM105" i="1"/>
  <c r="AM106" i="1"/>
  <c r="AM107" i="1"/>
  <c r="AM108" i="1"/>
  <c r="AM109" i="1"/>
  <c r="AM110" i="1"/>
  <c r="AM111" i="1"/>
  <c r="AM112" i="1"/>
  <c r="AM113" i="1"/>
  <c r="AM10" i="1"/>
  <c r="B31" i="11" l="1"/>
  <c r="B55" i="42" l="1"/>
  <c r="B55" i="44"/>
  <c r="B55" i="15"/>
  <c r="B51" i="15"/>
  <c r="B41" i="15"/>
  <c r="B36" i="12" l="1"/>
  <c r="AL11" i="1"/>
  <c r="AL12" i="1"/>
  <c r="AL13" i="1"/>
  <c r="AL14" i="1"/>
  <c r="AL15" i="1"/>
  <c r="AL16" i="1"/>
  <c r="AL17" i="1"/>
  <c r="AL18" i="1"/>
  <c r="AL19" i="1"/>
  <c r="AL20" i="1"/>
  <c r="AL21" i="1"/>
  <c r="AL22" i="1"/>
  <c r="AL23" i="1"/>
  <c r="AL24" i="1"/>
  <c r="AL26" i="1"/>
  <c r="AL27" i="1"/>
  <c r="AL28" i="1"/>
  <c r="AL29" i="1"/>
  <c r="AL30" i="1"/>
  <c r="AL31" i="1"/>
  <c r="AL32" i="1"/>
  <c r="AL33" i="1"/>
  <c r="AL34" i="1"/>
  <c r="AL35" i="1"/>
  <c r="AL36" i="1"/>
  <c r="AL37" i="1"/>
  <c r="AL38" i="1"/>
  <c r="AL39" i="1"/>
  <c r="AL40" i="1"/>
  <c r="AL41" i="1"/>
  <c r="AL42" i="1"/>
  <c r="AL43" i="1"/>
  <c r="AL44" i="1"/>
  <c r="AL45" i="1"/>
  <c r="AL46" i="1"/>
  <c r="AL47" i="1"/>
  <c r="AL48" i="1"/>
  <c r="AL49" i="1"/>
  <c r="AL50" i="1"/>
  <c r="AL51" i="1"/>
  <c r="AL52" i="1"/>
  <c r="AL53" i="1"/>
  <c r="AL54" i="1"/>
  <c r="AL55" i="1"/>
  <c r="AL56" i="1"/>
  <c r="AL57" i="1"/>
  <c r="AL58" i="1"/>
  <c r="AL59" i="1"/>
  <c r="AL60" i="1"/>
  <c r="AL61" i="1"/>
  <c r="AL62" i="1"/>
  <c r="AL63" i="1"/>
  <c r="AL64" i="1"/>
  <c r="AL65" i="1"/>
  <c r="AL66" i="1"/>
  <c r="AL67" i="1"/>
  <c r="AL68" i="1"/>
  <c r="AL69" i="1"/>
  <c r="AL70" i="1"/>
  <c r="AL71" i="1"/>
  <c r="AL72" i="1"/>
  <c r="AL73" i="1"/>
  <c r="AL74" i="1"/>
  <c r="AL75" i="1"/>
  <c r="AL76" i="1"/>
  <c r="AL77" i="1"/>
  <c r="AL78" i="1"/>
  <c r="AL79" i="1"/>
  <c r="AL80" i="1"/>
  <c r="AL81" i="1"/>
  <c r="AL82" i="1"/>
  <c r="AL83" i="1"/>
  <c r="AL84" i="1"/>
  <c r="AL85" i="1"/>
  <c r="AL86" i="1"/>
  <c r="AL87" i="1"/>
  <c r="AL88" i="1"/>
  <c r="AL89" i="1"/>
  <c r="AL90" i="1"/>
  <c r="AL91" i="1"/>
  <c r="AL92" i="1"/>
  <c r="AL93" i="1"/>
  <c r="AL94" i="1"/>
  <c r="AL95" i="1"/>
  <c r="AL96" i="1"/>
  <c r="AL97" i="1"/>
  <c r="AL98" i="1"/>
  <c r="AL99" i="1"/>
  <c r="AL100" i="1"/>
  <c r="AL101" i="1"/>
  <c r="AL102" i="1"/>
  <c r="AL103" i="1"/>
  <c r="AL104" i="1"/>
  <c r="AL105" i="1"/>
  <c r="AL106" i="1"/>
  <c r="AL107" i="1"/>
  <c r="AL108" i="1"/>
  <c r="AL109" i="1"/>
  <c r="AL110" i="1"/>
  <c r="AL111" i="1"/>
  <c r="AL112" i="1"/>
  <c r="AL113" i="1"/>
  <c r="AL10" i="1"/>
  <c r="B24" i="33" l="1"/>
  <c r="L29" i="33"/>
  <c r="K29" i="33"/>
  <c r="L28" i="33"/>
  <c r="K28" i="33"/>
  <c r="U28" i="41" l="1"/>
  <c r="U29" i="41"/>
  <c r="U30" i="41"/>
  <c r="U27" i="41"/>
  <c r="I31" i="41" l="1"/>
  <c r="K31" i="41" s="1"/>
  <c r="O113" i="1"/>
  <c r="Q113" i="1"/>
  <c r="K32" i="22"/>
  <c r="L32" i="22" s="1"/>
  <c r="O111" i="1" l="1"/>
  <c r="O112" i="1"/>
  <c r="Q112" i="1"/>
  <c r="Q111" i="1"/>
  <c r="O109" i="1"/>
  <c r="Q109" i="1"/>
  <c r="O110" i="1"/>
  <c r="Q110" i="1"/>
  <c r="O107" i="1"/>
  <c r="O108" i="1"/>
  <c r="Q108" i="1"/>
  <c r="Q107" i="1"/>
  <c r="O105" i="1"/>
  <c r="O106" i="1"/>
  <c r="Q106" i="1"/>
  <c r="Q105" i="1"/>
  <c r="O104" i="1"/>
  <c r="Q104" i="1"/>
  <c r="O103" i="1"/>
  <c r="Q103" i="1"/>
  <c r="O102" i="1" l="1"/>
  <c r="Q102" i="1"/>
  <c r="O101" i="1"/>
  <c r="Q101" i="1"/>
  <c r="Q99" i="1"/>
  <c r="Q100" i="1"/>
  <c r="O99" i="1"/>
  <c r="O100" i="1"/>
  <c r="I22" i="34" l="1"/>
  <c r="K22" i="34" s="1"/>
  <c r="B24" i="9" l="1"/>
  <c r="F18" i="9"/>
  <c r="E18" i="9"/>
  <c r="K5" i="9"/>
  <c r="D5" i="9"/>
  <c r="D4" i="9"/>
  <c r="K3" i="9"/>
  <c r="B59" i="22"/>
  <c r="L58" i="22"/>
  <c r="K58" i="22"/>
  <c r="L57" i="22"/>
  <c r="K57" i="22"/>
  <c r="L56" i="22"/>
  <c r="K56" i="22"/>
  <c r="B55" i="22"/>
  <c r="L54" i="22"/>
  <c r="K54" i="22"/>
  <c r="L53" i="22"/>
  <c r="K53" i="22"/>
  <c r="L52" i="22"/>
  <c r="K52" i="22"/>
  <c r="K34" i="22"/>
  <c r="B26" i="22"/>
  <c r="K54" i="15"/>
  <c r="K53" i="15"/>
  <c r="B28" i="15"/>
  <c r="B61" i="41"/>
  <c r="K60" i="41"/>
  <c r="K59" i="41"/>
  <c r="K58" i="41"/>
  <c r="B57" i="41"/>
  <c r="K56" i="41"/>
  <c r="B41" i="41"/>
  <c r="K40" i="41"/>
  <c r="L40" i="41" s="1"/>
  <c r="B36" i="41"/>
  <c r="K35" i="41"/>
  <c r="B24" i="41"/>
  <c r="B56" i="12"/>
  <c r="K55" i="12"/>
  <c r="K54" i="12"/>
  <c r="K53" i="12"/>
  <c r="B52" i="12"/>
  <c r="K51" i="12"/>
  <c r="K35" i="12"/>
  <c r="L35" i="12" s="1"/>
  <c r="B24" i="12"/>
  <c r="B35" i="11"/>
  <c r="K34" i="11"/>
  <c r="K33" i="11"/>
  <c r="K32" i="11"/>
  <c r="B26" i="11"/>
  <c r="K25" i="11"/>
  <c r="B56" i="40"/>
  <c r="K55" i="40"/>
  <c r="K54" i="40"/>
  <c r="K53" i="40"/>
  <c r="K56" i="40" s="1"/>
  <c r="B52" i="40"/>
  <c r="I40" i="40"/>
  <c r="K40" i="40" s="1"/>
  <c r="B39" i="40"/>
  <c r="I37" i="40"/>
  <c r="K37" i="40" s="1"/>
  <c r="I36" i="40"/>
  <c r="K36" i="40" s="1"/>
  <c r="B33" i="40"/>
  <c r="B29" i="40"/>
  <c r="K28" i="40"/>
  <c r="B24" i="40"/>
  <c r="B56" i="28"/>
  <c r="K55" i="28"/>
  <c r="K54" i="28"/>
  <c r="K53" i="28"/>
  <c r="B52" i="28"/>
  <c r="I40" i="28"/>
  <c r="K40" i="28" s="1"/>
  <c r="B39" i="28"/>
  <c r="I37" i="28"/>
  <c r="K37" i="28" s="1"/>
  <c r="I36" i="28"/>
  <c r="K36" i="28" s="1"/>
  <c r="B33" i="28"/>
  <c r="B29" i="28"/>
  <c r="I28" i="28"/>
  <c r="K28" i="28" s="1"/>
  <c r="B24" i="28"/>
  <c r="B53" i="39"/>
  <c r="K52" i="39"/>
  <c r="K51" i="39"/>
  <c r="K50" i="39"/>
  <c r="B49" i="39"/>
  <c r="I37" i="39"/>
  <c r="K37" i="39" s="1"/>
  <c r="B36" i="39"/>
  <c r="I34" i="39"/>
  <c r="K34" i="39" s="1"/>
  <c r="I33" i="39"/>
  <c r="K33" i="39" s="1"/>
  <c r="B30" i="39"/>
  <c r="K29" i="39"/>
  <c r="K28" i="39"/>
  <c r="B27" i="39"/>
  <c r="B53" i="38"/>
  <c r="K52" i="38"/>
  <c r="K51" i="38"/>
  <c r="K50" i="38"/>
  <c r="B49" i="38"/>
  <c r="I37" i="38"/>
  <c r="K37" i="38" s="1"/>
  <c r="B36" i="38"/>
  <c r="I34" i="38"/>
  <c r="K34" i="38" s="1"/>
  <c r="I33" i="38"/>
  <c r="K33" i="38" s="1"/>
  <c r="B30" i="38"/>
  <c r="K29" i="38"/>
  <c r="K28" i="38"/>
  <c r="K30" i="38" s="1"/>
  <c r="B27" i="38"/>
  <c r="B53" i="2"/>
  <c r="K52" i="2"/>
  <c r="K51" i="2"/>
  <c r="K50" i="2"/>
  <c r="K53" i="2" s="1"/>
  <c r="B49" i="2"/>
  <c r="B36" i="2"/>
  <c r="I34" i="2"/>
  <c r="K34" i="2" s="1"/>
  <c r="B30" i="2"/>
  <c r="K29" i="2"/>
  <c r="K30" i="2" s="1"/>
  <c r="K28" i="2"/>
  <c r="B27" i="2"/>
  <c r="B64" i="10"/>
  <c r="K63" i="10"/>
  <c r="K62" i="10"/>
  <c r="K61" i="10"/>
  <c r="K59" i="10"/>
  <c r="B38" i="10"/>
  <c r="K37" i="10"/>
  <c r="K36" i="10"/>
  <c r="B25" i="10"/>
  <c r="B51" i="3"/>
  <c r="K50" i="3"/>
  <c r="K49" i="3"/>
  <c r="K48" i="3"/>
  <c r="B47" i="3"/>
  <c r="B34" i="3"/>
  <c r="B26" i="3"/>
  <c r="K25" i="3"/>
  <c r="K24" i="3"/>
  <c r="B23" i="3"/>
  <c r="B55" i="34"/>
  <c r="K54" i="34"/>
  <c r="K53" i="34"/>
  <c r="K52" i="34"/>
  <c r="B50" i="34"/>
  <c r="B38" i="34"/>
  <c r="B26" i="34"/>
  <c r="K25" i="34"/>
  <c r="K24" i="34"/>
  <c r="K23" i="34"/>
  <c r="B23" i="34"/>
  <c r="B55" i="4"/>
  <c r="K54" i="4"/>
  <c r="K53" i="4"/>
  <c r="K52" i="4"/>
  <c r="B50" i="4"/>
  <c r="B38" i="4"/>
  <c r="I31" i="4"/>
  <c r="K31" i="4" s="1"/>
  <c r="B26" i="4"/>
  <c r="K25" i="4"/>
  <c r="K24" i="4"/>
  <c r="B23" i="4"/>
  <c r="B57" i="33"/>
  <c r="L56" i="33"/>
  <c r="K56" i="33"/>
  <c r="L55" i="33"/>
  <c r="K55" i="33"/>
  <c r="L54" i="33"/>
  <c r="K54" i="33"/>
  <c r="B38" i="33"/>
  <c r="B33" i="33"/>
  <c r="I32" i="33"/>
  <c r="K32" i="33" s="1"/>
  <c r="B30" i="33"/>
  <c r="K27" i="33"/>
  <c r="K26" i="33"/>
  <c r="K25" i="33"/>
  <c r="Q98" i="1"/>
  <c r="O98" i="1"/>
  <c r="Q97" i="1"/>
  <c r="O97" i="1"/>
  <c r="Q96" i="1"/>
  <c r="O96" i="1"/>
  <c r="Q95" i="1"/>
  <c r="O95" i="1"/>
  <c r="Q94" i="1"/>
  <c r="O94" i="1"/>
  <c r="Q93" i="1"/>
  <c r="O93" i="1"/>
  <c r="Q92" i="1"/>
  <c r="O92" i="1"/>
  <c r="Q91" i="1"/>
  <c r="O91" i="1"/>
  <c r="Q90" i="1"/>
  <c r="O90" i="1"/>
  <c r="Q89" i="1"/>
  <c r="O89" i="1"/>
  <c r="Q88" i="1"/>
  <c r="O88" i="1"/>
  <c r="Q87" i="1"/>
  <c r="O87" i="1"/>
  <c r="Q86" i="1"/>
  <c r="O86" i="1"/>
  <c r="Q85" i="1"/>
  <c r="O85" i="1"/>
  <c r="Q84" i="1"/>
  <c r="O84" i="1"/>
  <c r="Q83" i="1"/>
  <c r="O83" i="1"/>
  <c r="Q82" i="1"/>
  <c r="O82" i="1"/>
  <c r="Q81" i="1"/>
  <c r="O81" i="1"/>
  <c r="Q80" i="1"/>
  <c r="O80" i="1"/>
  <c r="Q79" i="1"/>
  <c r="O79" i="1"/>
  <c r="Q78" i="1"/>
  <c r="O78" i="1"/>
  <c r="Q77" i="1"/>
  <c r="O77" i="1"/>
  <c r="Q76" i="1"/>
  <c r="O76" i="1"/>
  <c r="Q75" i="1"/>
  <c r="O75" i="1"/>
  <c r="Q74" i="1"/>
  <c r="O74" i="1"/>
  <c r="Q73" i="1"/>
  <c r="O73" i="1"/>
  <c r="Q72" i="1"/>
  <c r="O72" i="1"/>
  <c r="Q71" i="1"/>
  <c r="O71" i="1"/>
  <c r="Q70" i="1"/>
  <c r="O70" i="1"/>
  <c r="Q69" i="1"/>
  <c r="O69" i="1"/>
  <c r="Q68" i="1"/>
  <c r="O68" i="1"/>
  <c r="Q67" i="1"/>
  <c r="O67" i="1"/>
  <c r="Q66" i="1"/>
  <c r="O66" i="1"/>
  <c r="Q65" i="1"/>
  <c r="O65" i="1"/>
  <c r="Q64" i="1"/>
  <c r="O64" i="1"/>
  <c r="Q63" i="1"/>
  <c r="O63" i="1"/>
  <c r="Q62" i="1"/>
  <c r="O62" i="1"/>
  <c r="Q61" i="1"/>
  <c r="O61" i="1"/>
  <c r="Q60" i="1"/>
  <c r="O60" i="1"/>
  <c r="Q59" i="1"/>
  <c r="O59" i="1"/>
  <c r="Q58" i="1"/>
  <c r="O58" i="1"/>
  <c r="Q57" i="1"/>
  <c r="O57" i="1"/>
  <c r="Q56" i="1"/>
  <c r="O56" i="1"/>
  <c r="Q55" i="1"/>
  <c r="O55" i="1"/>
  <c r="Q54" i="1"/>
  <c r="O54" i="1"/>
  <c r="Q53" i="1"/>
  <c r="O53" i="1"/>
  <c r="Q52" i="1"/>
  <c r="O52" i="1"/>
  <c r="Q51" i="1"/>
  <c r="O51" i="1"/>
  <c r="Q50" i="1"/>
  <c r="O50" i="1"/>
  <c r="Q49" i="1"/>
  <c r="O49" i="1"/>
  <c r="Q48" i="1"/>
  <c r="O48" i="1"/>
  <c r="Q47" i="1"/>
  <c r="O47" i="1"/>
  <c r="Q46" i="1"/>
  <c r="O46" i="1"/>
  <c r="Q45" i="1"/>
  <c r="O45" i="1"/>
  <c r="Q44" i="1"/>
  <c r="O44" i="1"/>
  <c r="Q43" i="1"/>
  <c r="O43" i="1"/>
  <c r="Q42" i="1"/>
  <c r="O42" i="1"/>
  <c r="Q41" i="1"/>
  <c r="O41" i="1"/>
  <c r="Q40" i="1"/>
  <c r="O40" i="1"/>
  <c r="Q39" i="1"/>
  <c r="O39" i="1"/>
  <c r="Q38" i="1"/>
  <c r="O38" i="1"/>
  <c r="Q37" i="1"/>
  <c r="Q36" i="1"/>
  <c r="N36" i="1"/>
  <c r="P36" i="1" s="1"/>
  <c r="G22" i="9" s="1"/>
  <c r="H69" i="6" s="1"/>
  <c r="Q35" i="1"/>
  <c r="N35" i="1"/>
  <c r="P35" i="1" s="1"/>
  <c r="G21" i="9" s="1"/>
  <c r="H68" i="6" s="1"/>
  <c r="Q34" i="1"/>
  <c r="N34" i="1"/>
  <c r="P34" i="1" s="1"/>
  <c r="G20" i="9" s="1"/>
  <c r="H67" i="6" s="1"/>
  <c r="Q33" i="1"/>
  <c r="N33" i="1"/>
  <c r="P33" i="1" s="1"/>
  <c r="Q32" i="1"/>
  <c r="Q31" i="1"/>
  <c r="Q30" i="1"/>
  <c r="Q29" i="1"/>
  <c r="Q28" i="1"/>
  <c r="O28" i="1"/>
  <c r="Q27" i="1"/>
  <c r="O27" i="1"/>
  <c r="Q26" i="1"/>
  <c r="O26" i="1"/>
  <c r="Q24" i="1"/>
  <c r="O24" i="1"/>
  <c r="Q23" i="1"/>
  <c r="O23" i="1"/>
  <c r="Q22" i="1"/>
  <c r="O22" i="1"/>
  <c r="Q21" i="1"/>
  <c r="O21" i="1"/>
  <c r="Q20" i="1"/>
  <c r="O20" i="1"/>
  <c r="Q19" i="1"/>
  <c r="O19" i="1"/>
  <c r="Q18" i="1"/>
  <c r="O18" i="1"/>
  <c r="Q17" i="1"/>
  <c r="O17" i="1"/>
  <c r="Q16" i="1"/>
  <c r="O16" i="1"/>
  <c r="Q15" i="1"/>
  <c r="O15" i="1"/>
  <c r="Q14" i="1"/>
  <c r="O14" i="1"/>
  <c r="Q13" i="1"/>
  <c r="O13" i="1"/>
  <c r="Q12" i="1"/>
  <c r="O12" i="1"/>
  <c r="Q11" i="1"/>
  <c r="O11" i="1"/>
  <c r="Q10" i="1"/>
  <c r="M8" i="1"/>
  <c r="L8" i="1"/>
  <c r="K8" i="1"/>
  <c r="J8" i="1"/>
  <c r="F8" i="1"/>
  <c r="M7" i="1"/>
  <c r="L7" i="1"/>
  <c r="K7" i="1"/>
  <c r="J7" i="1"/>
  <c r="F7" i="1"/>
  <c r="I44" i="7"/>
  <c r="I43" i="7"/>
  <c r="I42" i="7"/>
  <c r="I41" i="7"/>
  <c r="I40" i="7"/>
  <c r="I39" i="7"/>
  <c r="I38" i="7"/>
  <c r="I37" i="7"/>
  <c r="I36" i="7"/>
  <c r="I35" i="7"/>
  <c r="I34" i="7"/>
  <c r="I33" i="7"/>
  <c r="I32" i="7"/>
  <c r="I31" i="7"/>
  <c r="I30" i="7"/>
  <c r="I29" i="7"/>
  <c r="I28" i="7"/>
  <c r="I27" i="7"/>
  <c r="I26" i="7"/>
  <c r="I25" i="7"/>
  <c r="I24" i="7"/>
  <c r="I23" i="7"/>
  <c r="I22" i="7"/>
  <c r="I21" i="7"/>
  <c r="I20" i="7"/>
  <c r="I19" i="7"/>
  <c r="I18" i="7"/>
  <c r="K72" i="6"/>
  <c r="K69" i="6"/>
  <c r="K68" i="6"/>
  <c r="K67" i="6"/>
  <c r="K66" i="6"/>
  <c r="K65" i="6"/>
  <c r="K64" i="6"/>
  <c r="E35" i="6"/>
  <c r="J33" i="6"/>
  <c r="E33" i="6"/>
  <c r="E31" i="6"/>
  <c r="E30" i="6"/>
  <c r="E29" i="6"/>
  <c r="E27" i="6"/>
  <c r="J24" i="6"/>
  <c r="E24" i="6"/>
  <c r="J22" i="6"/>
  <c r="E22" i="6"/>
  <c r="E13" i="6"/>
  <c r="AM50" i="5"/>
  <c r="AM49" i="5"/>
  <c r="AN50" i="5" s="1"/>
  <c r="AG44" i="5"/>
  <c r="AH44" i="5" s="1"/>
  <c r="B50" i="14"/>
  <c r="A50" i="14"/>
  <c r="M145" i="1" l="1"/>
  <c r="M143" i="1"/>
  <c r="J144" i="1"/>
  <c r="L145" i="1"/>
  <c r="L143" i="1"/>
  <c r="M144" i="1"/>
  <c r="K145" i="1"/>
  <c r="K66" i="1"/>
  <c r="K67" i="1"/>
  <c r="K143" i="1"/>
  <c r="K144" i="1"/>
  <c r="J145" i="1"/>
  <c r="J66" i="1"/>
  <c r="J67" i="1"/>
  <c r="J143" i="1"/>
  <c r="B3" i="62"/>
  <c r="B4" i="62"/>
  <c r="L144" i="1"/>
  <c r="J139" i="1"/>
  <c r="J140" i="1"/>
  <c r="J141" i="1"/>
  <c r="J142" i="1"/>
  <c r="J137" i="1"/>
  <c r="J138" i="1"/>
  <c r="J135" i="1"/>
  <c r="J134" i="1"/>
  <c r="J132" i="1"/>
  <c r="J133" i="1"/>
  <c r="J136" i="1"/>
  <c r="K137" i="1"/>
  <c r="K141" i="1"/>
  <c r="K138" i="1"/>
  <c r="K140" i="1"/>
  <c r="K142" i="1"/>
  <c r="K139" i="1"/>
  <c r="K136" i="1"/>
  <c r="K135" i="1"/>
  <c r="K134" i="1"/>
  <c r="K132" i="1"/>
  <c r="K133" i="1"/>
  <c r="L137" i="1"/>
  <c r="L139" i="1"/>
  <c r="L140" i="1"/>
  <c r="L141" i="1"/>
  <c r="L138" i="1"/>
  <c r="L142" i="1"/>
  <c r="L133" i="1"/>
  <c r="L136" i="1"/>
  <c r="L135" i="1"/>
  <c r="L134" i="1"/>
  <c r="L132" i="1"/>
  <c r="M137" i="1"/>
  <c r="M142" i="1"/>
  <c r="M140" i="1"/>
  <c r="M139" i="1"/>
  <c r="M141" i="1"/>
  <c r="M138" i="1"/>
  <c r="M132" i="1"/>
  <c r="M136" i="1"/>
  <c r="M135" i="1"/>
  <c r="M134" i="1"/>
  <c r="M133" i="1"/>
  <c r="C1" i="33"/>
  <c r="K53" i="39"/>
  <c r="K35" i="11"/>
  <c r="C8" i="6"/>
  <c r="C7" i="5"/>
  <c r="H2" i="9" s="1"/>
  <c r="K56" i="28"/>
  <c r="E23" i="11"/>
  <c r="H3" i="7"/>
  <c r="B3" i="55"/>
  <c r="B3" i="54"/>
  <c r="B3" i="53"/>
  <c r="O5" i="8"/>
  <c r="B4" i="55"/>
  <c r="B4" i="54"/>
  <c r="B4" i="53"/>
  <c r="M25" i="1"/>
  <c r="K25" i="1"/>
  <c r="C2" i="53"/>
  <c r="C2" i="54"/>
  <c r="C1" i="54"/>
  <c r="C1" i="53"/>
  <c r="I37" i="1"/>
  <c r="N37" i="1" s="1"/>
  <c r="P37" i="1" s="1"/>
  <c r="G23" i="9" s="1"/>
  <c r="H70" i="6" s="1"/>
  <c r="L25" i="1"/>
  <c r="J25" i="1"/>
  <c r="K130" i="1"/>
  <c r="K131" i="1"/>
  <c r="K124" i="1"/>
  <c r="K122" i="1"/>
  <c r="K125" i="1"/>
  <c r="K127" i="1"/>
  <c r="K129" i="1"/>
  <c r="K115" i="1"/>
  <c r="K117" i="1"/>
  <c r="K119" i="1"/>
  <c r="K121" i="1"/>
  <c r="K123" i="1"/>
  <c r="K126" i="1"/>
  <c r="K128" i="1"/>
  <c r="K114" i="1"/>
  <c r="K116" i="1"/>
  <c r="K118" i="1"/>
  <c r="K120" i="1"/>
  <c r="L131" i="1"/>
  <c r="L130" i="1"/>
  <c r="L123" i="1"/>
  <c r="L126" i="1"/>
  <c r="L128" i="1"/>
  <c r="L114" i="1"/>
  <c r="L116" i="1"/>
  <c r="L124" i="1"/>
  <c r="L122" i="1"/>
  <c r="L125" i="1"/>
  <c r="L127" i="1"/>
  <c r="L129" i="1"/>
  <c r="L115" i="1"/>
  <c r="L117" i="1"/>
  <c r="L119" i="1"/>
  <c r="L121" i="1"/>
  <c r="L118" i="1"/>
  <c r="L120" i="1"/>
  <c r="M130" i="1"/>
  <c r="M131" i="1"/>
  <c r="M123" i="1"/>
  <c r="M126" i="1"/>
  <c r="M128" i="1"/>
  <c r="M114" i="1"/>
  <c r="M116" i="1"/>
  <c r="M118" i="1"/>
  <c r="M120" i="1"/>
  <c r="M124" i="1"/>
  <c r="M122" i="1"/>
  <c r="M125" i="1"/>
  <c r="M127" i="1"/>
  <c r="M129" i="1"/>
  <c r="M115" i="1"/>
  <c r="M117" i="1"/>
  <c r="M119" i="1"/>
  <c r="M121" i="1"/>
  <c r="J131" i="1"/>
  <c r="J130" i="1"/>
  <c r="J122" i="1"/>
  <c r="J125" i="1"/>
  <c r="J119" i="1"/>
  <c r="J123" i="1"/>
  <c r="J126" i="1"/>
  <c r="J128" i="1"/>
  <c r="J114" i="1"/>
  <c r="J116" i="1"/>
  <c r="J118" i="1"/>
  <c r="J120" i="1"/>
  <c r="J127" i="1"/>
  <c r="J129" i="1"/>
  <c r="J115" i="1"/>
  <c r="J117" i="1"/>
  <c r="J124" i="1"/>
  <c r="J121" i="1"/>
  <c r="K26" i="3"/>
  <c r="K59" i="22"/>
  <c r="K64" i="10"/>
  <c r="G19" i="9"/>
  <c r="H66" i="6" s="1"/>
  <c r="Q28" i="11"/>
  <c r="M96" i="1"/>
  <c r="L24" i="1"/>
  <c r="K53" i="38"/>
  <c r="L18" i="1"/>
  <c r="L21" i="1"/>
  <c r="K30" i="33"/>
  <c r="K57" i="33"/>
  <c r="L23" i="1"/>
  <c r="L14" i="1"/>
  <c r="L17" i="1"/>
  <c r="L20" i="1"/>
  <c r="L13" i="1"/>
  <c r="L16" i="1"/>
  <c r="J97" i="1"/>
  <c r="L12" i="1"/>
  <c r="L22" i="1"/>
  <c r="J81" i="1"/>
  <c r="K94" i="1"/>
  <c r="L11" i="1"/>
  <c r="L15" i="1"/>
  <c r="L19" i="1"/>
  <c r="C8" i="1"/>
  <c r="C18" i="9"/>
  <c r="C6" i="5"/>
  <c r="C1" i="22"/>
  <c r="C1" i="42"/>
  <c r="C1" i="44"/>
  <c r="C1" i="41"/>
  <c r="C1" i="12"/>
  <c r="C1" i="11"/>
  <c r="C1" i="28"/>
  <c r="C1" i="15"/>
  <c r="C1" i="39"/>
  <c r="C1" i="38"/>
  <c r="C1" i="40"/>
  <c r="C1" i="10"/>
  <c r="C1" i="36"/>
  <c r="C1" i="3"/>
  <c r="C1" i="4"/>
  <c r="C1" i="2"/>
  <c r="C1" i="37"/>
  <c r="C1" i="35"/>
  <c r="C1" i="34"/>
  <c r="L113" i="1"/>
  <c r="L111" i="1"/>
  <c r="L108" i="1"/>
  <c r="L103" i="1"/>
  <c r="L105" i="1"/>
  <c r="L106" i="1"/>
  <c r="L104" i="1"/>
  <c r="L112" i="1"/>
  <c r="L110" i="1"/>
  <c r="L107" i="1"/>
  <c r="L109" i="1"/>
  <c r="L100" i="1"/>
  <c r="L102" i="1"/>
  <c r="L101" i="1"/>
  <c r="L99" i="1"/>
  <c r="L98" i="1"/>
  <c r="L96" i="1"/>
  <c r="L91" i="1"/>
  <c r="L82" i="1"/>
  <c r="L81" i="1"/>
  <c r="L80" i="1"/>
  <c r="L79" i="1"/>
  <c r="L78" i="1"/>
  <c r="L77" i="1"/>
  <c r="L76" i="1"/>
  <c r="L75" i="1"/>
  <c r="L74" i="1"/>
  <c r="L73" i="1"/>
  <c r="L72" i="1"/>
  <c r="L70" i="1"/>
  <c r="L69" i="1"/>
  <c r="L68" i="1"/>
  <c r="L67" i="1"/>
  <c r="L66" i="1"/>
  <c r="L65" i="1"/>
  <c r="L64" i="1"/>
  <c r="L63" i="1"/>
  <c r="L62" i="1"/>
  <c r="L61" i="1"/>
  <c r="L60" i="1"/>
  <c r="L59" i="1"/>
  <c r="L58" i="1"/>
  <c r="L57" i="1"/>
  <c r="L56" i="1"/>
  <c r="L55" i="1"/>
  <c r="L54" i="1"/>
  <c r="L53" i="1"/>
  <c r="L52" i="1"/>
  <c r="L51" i="1"/>
  <c r="L50" i="1"/>
  <c r="L49" i="1"/>
  <c r="L48" i="1"/>
  <c r="L47" i="1"/>
  <c r="L46" i="1"/>
  <c r="L45" i="1"/>
  <c r="L44" i="1"/>
  <c r="L43" i="1"/>
  <c r="L42" i="1"/>
  <c r="L41" i="1"/>
  <c r="L40" i="1"/>
  <c r="L39" i="1"/>
  <c r="L38" i="1"/>
  <c r="L29" i="1"/>
  <c r="L28" i="1"/>
  <c r="L97" i="1"/>
  <c r="L94" i="1"/>
  <c r="L90" i="1"/>
  <c r="L30" i="1"/>
  <c r="L10" i="1"/>
  <c r="M11" i="1"/>
  <c r="M12" i="1"/>
  <c r="M13" i="1"/>
  <c r="M15" i="1"/>
  <c r="M16" i="1"/>
  <c r="M17" i="1"/>
  <c r="L27" i="1"/>
  <c r="M29" i="1"/>
  <c r="L32" i="1"/>
  <c r="M44" i="1"/>
  <c r="J45" i="1"/>
  <c r="J49" i="1"/>
  <c r="E9" i="14"/>
  <c r="M113" i="1"/>
  <c r="M109" i="1"/>
  <c r="M105" i="1"/>
  <c r="M110" i="1"/>
  <c r="M108" i="1"/>
  <c r="M112" i="1"/>
  <c r="M107" i="1"/>
  <c r="M104" i="1"/>
  <c r="M103" i="1"/>
  <c r="M111" i="1"/>
  <c r="M106" i="1"/>
  <c r="M99" i="1"/>
  <c r="M100" i="1"/>
  <c r="M102" i="1"/>
  <c r="M101" i="1"/>
  <c r="M97" i="1"/>
  <c r="M94" i="1"/>
  <c r="M90" i="1"/>
  <c r="M30" i="1"/>
  <c r="M93" i="1"/>
  <c r="M89" i="1"/>
  <c r="M88" i="1"/>
  <c r="M87" i="1"/>
  <c r="M86" i="1"/>
  <c r="M85" i="1"/>
  <c r="M84" i="1"/>
  <c r="M83" i="1"/>
  <c r="M31" i="1"/>
  <c r="M10" i="1"/>
  <c r="J11" i="1"/>
  <c r="J12" i="1"/>
  <c r="J13" i="1"/>
  <c r="J14" i="1"/>
  <c r="J15" i="1"/>
  <c r="J16" i="1"/>
  <c r="J17" i="1"/>
  <c r="J18" i="1"/>
  <c r="J19" i="1"/>
  <c r="J20" i="1"/>
  <c r="J21" i="1"/>
  <c r="J22" i="1"/>
  <c r="J23" i="1"/>
  <c r="J24" i="1"/>
  <c r="M26" i="1"/>
  <c r="M27" i="1"/>
  <c r="L31" i="1"/>
  <c r="M32" i="1"/>
  <c r="J38" i="1"/>
  <c r="M41" i="1"/>
  <c r="J42" i="1"/>
  <c r="M45" i="1"/>
  <c r="J46" i="1"/>
  <c r="M49" i="1"/>
  <c r="J50" i="1"/>
  <c r="M53" i="1"/>
  <c r="J54" i="1"/>
  <c r="M57" i="1"/>
  <c r="J58" i="1"/>
  <c r="M61" i="1"/>
  <c r="J62" i="1"/>
  <c r="M65" i="1"/>
  <c r="M69" i="1"/>
  <c r="J70" i="1"/>
  <c r="M72" i="1"/>
  <c r="J73" i="1"/>
  <c r="M76" i="1"/>
  <c r="J77" i="1"/>
  <c r="M80" i="1"/>
  <c r="L85" i="1"/>
  <c r="K86" i="1"/>
  <c r="L89" i="1"/>
  <c r="M91" i="1"/>
  <c r="L93" i="1"/>
  <c r="K97" i="1"/>
  <c r="B3" i="22"/>
  <c r="B3" i="44"/>
  <c r="B3" i="15"/>
  <c r="B3" i="40"/>
  <c r="B3" i="42"/>
  <c r="B3" i="41"/>
  <c r="B3" i="12"/>
  <c r="B3" i="11"/>
  <c r="B3" i="28"/>
  <c r="B3" i="38"/>
  <c r="B3" i="2"/>
  <c r="B3" i="36"/>
  <c r="B3" i="3"/>
  <c r="B3" i="4"/>
  <c r="B3" i="33"/>
  <c r="B3" i="39"/>
  <c r="B3" i="10"/>
  <c r="B3" i="37"/>
  <c r="B3" i="35"/>
  <c r="B3" i="34"/>
  <c r="C2" i="44"/>
  <c r="C2" i="22"/>
  <c r="C2" i="41"/>
  <c r="C2" i="12"/>
  <c r="C2" i="11"/>
  <c r="C2" i="28"/>
  <c r="C2" i="15"/>
  <c r="C2" i="39"/>
  <c r="C2" i="40"/>
  <c r="C2" i="42"/>
  <c r="C2" i="10"/>
  <c r="C2" i="38"/>
  <c r="C2" i="2"/>
  <c r="C2" i="35"/>
  <c r="C2" i="33"/>
  <c r="C2" i="36"/>
  <c r="C2" i="37"/>
  <c r="C2" i="34"/>
  <c r="C2" i="4"/>
  <c r="C2" i="3"/>
  <c r="K10" i="1"/>
  <c r="M18" i="1"/>
  <c r="M19" i="1"/>
  <c r="M20" i="1"/>
  <c r="L26" i="1"/>
  <c r="K30" i="1"/>
  <c r="K31" i="1"/>
  <c r="M40" i="1"/>
  <c r="B4" i="44"/>
  <c r="B4" i="22"/>
  <c r="B4" i="41"/>
  <c r="B4" i="12"/>
  <c r="B4" i="28"/>
  <c r="B4" i="42"/>
  <c r="B4" i="39"/>
  <c r="B4" i="11"/>
  <c r="B4" i="40"/>
  <c r="B4" i="15"/>
  <c r="B4" i="10"/>
  <c r="B4" i="2"/>
  <c r="B4" i="37"/>
  <c r="B4" i="34"/>
  <c r="B4" i="38"/>
  <c r="B4" i="36"/>
  <c r="B4" i="3"/>
  <c r="B4" i="4"/>
  <c r="B4" i="33"/>
  <c r="B4" i="35"/>
  <c r="B18" i="9"/>
  <c r="C7" i="6"/>
  <c r="H4" i="7"/>
  <c r="J113" i="1"/>
  <c r="J112" i="1"/>
  <c r="J110" i="1"/>
  <c r="J107" i="1"/>
  <c r="J103" i="1"/>
  <c r="J109" i="1"/>
  <c r="J106" i="1"/>
  <c r="J104" i="1"/>
  <c r="J105" i="1"/>
  <c r="J111" i="1"/>
  <c r="J108" i="1"/>
  <c r="J102" i="1"/>
  <c r="J101" i="1"/>
  <c r="J99" i="1"/>
  <c r="J100" i="1"/>
  <c r="J93" i="1"/>
  <c r="J89" i="1"/>
  <c r="J88" i="1"/>
  <c r="J87" i="1"/>
  <c r="J86" i="1"/>
  <c r="J85" i="1"/>
  <c r="J84" i="1"/>
  <c r="J83" i="1"/>
  <c r="J31" i="1"/>
  <c r="J95" i="1"/>
  <c r="J92" i="1"/>
  <c r="J71" i="1"/>
  <c r="J32" i="1"/>
  <c r="J10" i="1"/>
  <c r="K11" i="1"/>
  <c r="K12" i="1"/>
  <c r="K13" i="1"/>
  <c r="K14" i="1"/>
  <c r="K15" i="1"/>
  <c r="K16" i="1"/>
  <c r="K17" i="1"/>
  <c r="K18" i="1"/>
  <c r="K19" i="1"/>
  <c r="K20" i="1"/>
  <c r="K21" i="1"/>
  <c r="K22" i="1"/>
  <c r="K23" i="1"/>
  <c r="K24" i="1"/>
  <c r="J26" i="1"/>
  <c r="J27" i="1"/>
  <c r="J28" i="1"/>
  <c r="M38" i="1"/>
  <c r="J39" i="1"/>
  <c r="M42" i="1"/>
  <c r="J43" i="1"/>
  <c r="M46" i="1"/>
  <c r="J47" i="1"/>
  <c r="M50" i="1"/>
  <c r="J51" i="1"/>
  <c r="M54" i="1"/>
  <c r="J55" i="1"/>
  <c r="M58" i="1"/>
  <c r="J59" i="1"/>
  <c r="M62" i="1"/>
  <c r="J63" i="1"/>
  <c r="M66" i="1"/>
  <c r="M70" i="1"/>
  <c r="M73" i="1"/>
  <c r="J74" i="1"/>
  <c r="M77" i="1"/>
  <c r="J78" i="1"/>
  <c r="M81" i="1"/>
  <c r="J82" i="1"/>
  <c r="K83" i="1"/>
  <c r="L86" i="1"/>
  <c r="K87" i="1"/>
  <c r="J90" i="1"/>
  <c r="L92" i="1"/>
  <c r="J94" i="1"/>
  <c r="L95" i="1"/>
  <c r="J98" i="1"/>
  <c r="K26" i="1"/>
  <c r="K27" i="1"/>
  <c r="M28" i="1"/>
  <c r="J29" i="1"/>
  <c r="J30" i="1"/>
  <c r="M39" i="1"/>
  <c r="J40" i="1"/>
  <c r="M43" i="1"/>
  <c r="J44" i="1"/>
  <c r="M47" i="1"/>
  <c r="J48" i="1"/>
  <c r="M51" i="1"/>
  <c r="J52" i="1"/>
  <c r="M55" i="1"/>
  <c r="J56" i="1"/>
  <c r="M59" i="1"/>
  <c r="J60" i="1"/>
  <c r="M63" i="1"/>
  <c r="J64" i="1"/>
  <c r="M67" i="1"/>
  <c r="J68" i="1"/>
  <c r="L71" i="1"/>
  <c r="M74" i="1"/>
  <c r="J75" i="1"/>
  <c r="M78" i="1"/>
  <c r="J79" i="1"/>
  <c r="M82" i="1"/>
  <c r="L83" i="1"/>
  <c r="K84" i="1"/>
  <c r="L87" i="1"/>
  <c r="K88" i="1"/>
  <c r="K90" i="1"/>
  <c r="M92" i="1"/>
  <c r="M95" i="1"/>
  <c r="J96" i="1"/>
  <c r="M98" i="1"/>
  <c r="K113" i="1"/>
  <c r="K106" i="1"/>
  <c r="K104" i="1"/>
  <c r="K112" i="1"/>
  <c r="K111" i="1"/>
  <c r="K110" i="1"/>
  <c r="K108" i="1"/>
  <c r="K103" i="1"/>
  <c r="K109" i="1"/>
  <c r="K105" i="1"/>
  <c r="K107" i="1"/>
  <c r="K102" i="1"/>
  <c r="K101" i="1"/>
  <c r="K99" i="1"/>
  <c r="K100" i="1"/>
  <c r="K95" i="1"/>
  <c r="K92" i="1"/>
  <c r="K71" i="1"/>
  <c r="K32" i="1"/>
  <c r="K98" i="1"/>
  <c r="K96" i="1"/>
  <c r="K91" i="1"/>
  <c r="K82" i="1"/>
  <c r="K81" i="1"/>
  <c r="K80" i="1"/>
  <c r="K79" i="1"/>
  <c r="K78" i="1"/>
  <c r="K77" i="1"/>
  <c r="K76" i="1"/>
  <c r="K75" i="1"/>
  <c r="K74" i="1"/>
  <c r="K73" i="1"/>
  <c r="K72" i="1"/>
  <c r="K70" i="1"/>
  <c r="K69" i="1"/>
  <c r="K68" i="1"/>
  <c r="K65" i="1"/>
  <c r="K64" i="1"/>
  <c r="K63" i="1"/>
  <c r="K62" i="1"/>
  <c r="K61" i="1"/>
  <c r="K60" i="1"/>
  <c r="K59" i="1"/>
  <c r="K58" i="1"/>
  <c r="K57" i="1"/>
  <c r="K56" i="1"/>
  <c r="K55" i="1"/>
  <c r="K54" i="1"/>
  <c r="K53" i="1"/>
  <c r="K52" i="1"/>
  <c r="K51" i="1"/>
  <c r="K50" i="1"/>
  <c r="K49" i="1"/>
  <c r="K48" i="1"/>
  <c r="K47" i="1"/>
  <c r="K46" i="1"/>
  <c r="K45" i="1"/>
  <c r="K44" i="1"/>
  <c r="K43" i="1"/>
  <c r="K42" i="1"/>
  <c r="K41" i="1"/>
  <c r="K40" i="1"/>
  <c r="K39" i="1"/>
  <c r="K38" i="1"/>
  <c r="K29" i="1"/>
  <c r="K28" i="1"/>
  <c r="M14" i="1"/>
  <c r="M21" i="1"/>
  <c r="M22" i="1"/>
  <c r="M23" i="1"/>
  <c r="M24" i="1"/>
  <c r="J41" i="1"/>
  <c r="M48" i="1"/>
  <c r="M52" i="1"/>
  <c r="J53" i="1"/>
  <c r="M56" i="1"/>
  <c r="J57" i="1"/>
  <c r="M60" i="1"/>
  <c r="J61" i="1"/>
  <c r="M64" i="1"/>
  <c r="J65" i="1"/>
  <c r="M68" i="1"/>
  <c r="J69" i="1"/>
  <c r="M71" i="1"/>
  <c r="J72" i="1"/>
  <c r="M75" i="1"/>
  <c r="J76" i="1"/>
  <c r="M79" i="1"/>
  <c r="J80" i="1"/>
  <c r="L84" i="1"/>
  <c r="K85" i="1"/>
  <c r="L88" i="1"/>
  <c r="K89" i="1"/>
  <c r="J91" i="1"/>
  <c r="K93" i="1"/>
  <c r="K26" i="4"/>
  <c r="K26" i="34"/>
  <c r="K51" i="3"/>
  <c r="K30" i="39"/>
  <c r="K56" i="12"/>
  <c r="K61" i="41"/>
  <c r="N144" i="1" l="1"/>
  <c r="P144" i="1" s="1"/>
  <c r="N143" i="1"/>
  <c r="P143" i="1" s="1"/>
  <c r="N145" i="1"/>
  <c r="P145" i="1" s="1"/>
  <c r="Q4" i="62" s="1"/>
  <c r="I35" i="62" s="1"/>
  <c r="N140" i="1"/>
  <c r="P140" i="1" s="1"/>
  <c r="I65" i="62" s="1"/>
  <c r="K65" i="62" s="1"/>
  <c r="N134" i="1"/>
  <c r="P134" i="1" s="1"/>
  <c r="N135" i="1"/>
  <c r="P135" i="1" s="1"/>
  <c r="N138" i="1"/>
  <c r="P138" i="1" s="1"/>
  <c r="I57" i="62" s="1"/>
  <c r="K57" i="62" s="1"/>
  <c r="N137" i="1"/>
  <c r="P137" i="1" s="1"/>
  <c r="N142" i="1"/>
  <c r="P142" i="1" s="1"/>
  <c r="I73" i="62" s="1"/>
  <c r="K73" i="62" s="1"/>
  <c r="N136" i="1"/>
  <c r="P136" i="1" s="1"/>
  <c r="N141" i="1"/>
  <c r="P141" i="1" s="1"/>
  <c r="I69" i="62" s="1"/>
  <c r="K69" i="62" s="1"/>
  <c r="N133" i="1"/>
  <c r="P133" i="1" s="1"/>
  <c r="I42" i="62" s="1"/>
  <c r="K42" i="62" s="1"/>
  <c r="N139" i="1"/>
  <c r="P139" i="1" s="1"/>
  <c r="I61" i="62" s="1"/>
  <c r="K61" i="62" s="1"/>
  <c r="N132" i="1"/>
  <c r="P132" i="1" s="1"/>
  <c r="N25" i="1"/>
  <c r="P25" i="1" s="1"/>
  <c r="N123" i="1"/>
  <c r="P123" i="1" s="1"/>
  <c r="AN4" i="53" s="1"/>
  <c r="N30" i="1"/>
  <c r="P30" i="1" s="1"/>
  <c r="N130" i="1"/>
  <c r="P130" i="1" s="1"/>
  <c r="N122" i="1"/>
  <c r="P122" i="1" s="1"/>
  <c r="N131" i="1"/>
  <c r="P131" i="1" s="1"/>
  <c r="N116" i="1"/>
  <c r="P116" i="1" s="1"/>
  <c r="N115" i="1"/>
  <c r="P115" i="1" s="1"/>
  <c r="N129" i="1"/>
  <c r="P129" i="1" s="1"/>
  <c r="N124" i="1"/>
  <c r="P124" i="1" s="1"/>
  <c r="AU4" i="53" s="1"/>
  <c r="N114" i="1"/>
  <c r="P114" i="1" s="1"/>
  <c r="N121" i="1"/>
  <c r="P121" i="1" s="1"/>
  <c r="I25" i="55" s="1"/>
  <c r="K25" i="55" s="1"/>
  <c r="L25" i="55" s="1"/>
  <c r="N127" i="1"/>
  <c r="P127" i="1" s="1"/>
  <c r="N128" i="1"/>
  <c r="P128" i="1" s="1"/>
  <c r="N120" i="1"/>
  <c r="P120" i="1" s="1"/>
  <c r="I23" i="55" s="1"/>
  <c r="K23" i="55" s="1"/>
  <c r="L23" i="55" s="1"/>
  <c r="N119" i="1"/>
  <c r="P119" i="1" s="1"/>
  <c r="N125" i="1"/>
  <c r="P125" i="1" s="1"/>
  <c r="N126" i="1"/>
  <c r="P126" i="1" s="1"/>
  <c r="I32" i="15" s="1"/>
  <c r="K32" i="15" s="1"/>
  <c r="L32" i="15" s="1"/>
  <c r="N118" i="1"/>
  <c r="P118" i="1" s="1"/>
  <c r="N117" i="1"/>
  <c r="P117" i="1" s="1"/>
  <c r="N80" i="1"/>
  <c r="P80" i="1" s="1"/>
  <c r="N72" i="1"/>
  <c r="P72" i="1" s="1"/>
  <c r="N65" i="1"/>
  <c r="P65" i="1" s="1"/>
  <c r="AC4" i="62" s="1"/>
  <c r="N81" i="1"/>
  <c r="P81" i="1" s="1"/>
  <c r="N57" i="1"/>
  <c r="P57" i="1" s="1"/>
  <c r="N41" i="1"/>
  <c r="P41" i="1" s="1"/>
  <c r="I27" i="10" s="1"/>
  <c r="K27" i="10" s="1"/>
  <c r="L27" i="10" s="1"/>
  <c r="N76" i="1"/>
  <c r="P76" i="1" s="1"/>
  <c r="Q25" i="40" s="1"/>
  <c r="N69" i="1"/>
  <c r="P69" i="1" s="1"/>
  <c r="N61" i="1"/>
  <c r="P61" i="1" s="1"/>
  <c r="N53" i="1"/>
  <c r="P53" i="1" s="1"/>
  <c r="N96" i="1"/>
  <c r="P96" i="1" s="1"/>
  <c r="Y2" i="62" s="1"/>
  <c r="N26" i="1"/>
  <c r="P26" i="1" s="1"/>
  <c r="N10" i="1"/>
  <c r="P10" i="1" s="1"/>
  <c r="N91" i="1"/>
  <c r="P91" i="1" s="1"/>
  <c r="N109" i="1"/>
  <c r="P109" i="1" s="1"/>
  <c r="N95" i="1"/>
  <c r="P95" i="1" s="1"/>
  <c r="N31" i="1"/>
  <c r="P31" i="1" s="1"/>
  <c r="N97" i="1"/>
  <c r="P97" i="1" s="1"/>
  <c r="I48" i="22" s="1"/>
  <c r="K48" i="22" s="1"/>
  <c r="L48" i="22" s="1"/>
  <c r="N75" i="1"/>
  <c r="P75" i="1" s="1"/>
  <c r="N29" i="1"/>
  <c r="P29" i="1" s="1"/>
  <c r="N98" i="1"/>
  <c r="P98" i="1" s="1"/>
  <c r="N90" i="1"/>
  <c r="P90" i="1" s="1"/>
  <c r="N82" i="1"/>
  <c r="P82" i="1" s="1"/>
  <c r="N74" i="1"/>
  <c r="P74" i="1" s="1"/>
  <c r="N27" i="1"/>
  <c r="P27" i="1" s="1"/>
  <c r="N92" i="1"/>
  <c r="P92" i="1" s="1"/>
  <c r="N84" i="1"/>
  <c r="P84" i="1" s="1"/>
  <c r="N88" i="1"/>
  <c r="P88" i="1" s="1"/>
  <c r="N99" i="1"/>
  <c r="P99" i="1" s="1"/>
  <c r="N23" i="1"/>
  <c r="P23" i="1" s="1"/>
  <c r="N19" i="1"/>
  <c r="P19" i="1" s="1"/>
  <c r="N15" i="1"/>
  <c r="P15" i="1" s="1"/>
  <c r="N11" i="1"/>
  <c r="P11" i="1" s="1"/>
  <c r="N102" i="1"/>
  <c r="P102" i="1" s="1"/>
  <c r="N111" i="1"/>
  <c r="P111" i="1" s="1"/>
  <c r="N112" i="1"/>
  <c r="P112" i="1" s="1"/>
  <c r="N45" i="1"/>
  <c r="P45" i="1" s="1"/>
  <c r="N64" i="1"/>
  <c r="P64" i="1" s="1"/>
  <c r="N56" i="1"/>
  <c r="P56" i="1" s="1"/>
  <c r="N48" i="1"/>
  <c r="P48" i="1" s="1"/>
  <c r="I22" i="11" s="1"/>
  <c r="K22" i="11" s="1"/>
  <c r="N40" i="1"/>
  <c r="P40" i="1" s="1"/>
  <c r="I26" i="10" s="1"/>
  <c r="K26" i="10" s="1"/>
  <c r="L26" i="10" s="1"/>
  <c r="N63" i="1"/>
  <c r="P63" i="1" s="1"/>
  <c r="N55" i="1"/>
  <c r="P55" i="1" s="1"/>
  <c r="N47" i="1"/>
  <c r="P47" i="1" s="1"/>
  <c r="N39" i="1"/>
  <c r="P39" i="1" s="1"/>
  <c r="N85" i="1"/>
  <c r="P85" i="1" s="1"/>
  <c r="N89" i="1"/>
  <c r="P89" i="1" s="1"/>
  <c r="N113" i="1"/>
  <c r="P113" i="1" s="1"/>
  <c r="N77" i="1"/>
  <c r="P77" i="1" s="1"/>
  <c r="N70" i="1"/>
  <c r="P70" i="1" s="1"/>
  <c r="N62" i="1"/>
  <c r="P62" i="1" s="1"/>
  <c r="N54" i="1"/>
  <c r="P54" i="1" s="1"/>
  <c r="N46" i="1"/>
  <c r="P46" i="1" s="1"/>
  <c r="N38" i="1"/>
  <c r="P38" i="1" s="1"/>
  <c r="N22" i="1"/>
  <c r="P22" i="1" s="1"/>
  <c r="Q16" i="62" s="1"/>
  <c r="Q17" i="62" s="1"/>
  <c r="N18" i="1"/>
  <c r="P18" i="1" s="1"/>
  <c r="N14" i="1"/>
  <c r="P14" i="1" s="1"/>
  <c r="N94" i="1"/>
  <c r="P94" i="1" s="1"/>
  <c r="N100" i="1"/>
  <c r="P100" i="1" s="1"/>
  <c r="N103" i="1"/>
  <c r="P103" i="1" s="1"/>
  <c r="N108" i="1"/>
  <c r="P108" i="1" s="1"/>
  <c r="I27" i="53" s="1"/>
  <c r="K27" i="53" s="1"/>
  <c r="N79" i="1"/>
  <c r="P79" i="1" s="1"/>
  <c r="N78" i="1"/>
  <c r="P78" i="1" s="1"/>
  <c r="N32" i="1"/>
  <c r="P32" i="1" s="1"/>
  <c r="N86" i="1"/>
  <c r="P86" i="1" s="1"/>
  <c r="N93" i="1"/>
  <c r="P93" i="1" s="1"/>
  <c r="N104" i="1"/>
  <c r="P104" i="1" s="1"/>
  <c r="N24" i="1"/>
  <c r="P24" i="1" s="1"/>
  <c r="N21" i="1"/>
  <c r="P21" i="1" s="1"/>
  <c r="N17" i="1"/>
  <c r="P17" i="1" s="1"/>
  <c r="N13" i="1"/>
  <c r="P13" i="1" s="1"/>
  <c r="I77" i="62" s="1"/>
  <c r="K77" i="62" s="1"/>
  <c r="N106" i="1"/>
  <c r="P106" i="1" s="1"/>
  <c r="I25" i="53" s="1"/>
  <c r="K25" i="53" s="1"/>
  <c r="N68" i="1"/>
  <c r="P68" i="1" s="1"/>
  <c r="N60" i="1"/>
  <c r="P60" i="1" s="1"/>
  <c r="N52" i="1"/>
  <c r="P52" i="1" s="1"/>
  <c r="N44" i="1"/>
  <c r="P44" i="1" s="1"/>
  <c r="N67" i="1"/>
  <c r="P67" i="1" s="1"/>
  <c r="N59" i="1"/>
  <c r="P59" i="1" s="1"/>
  <c r="N51" i="1"/>
  <c r="P51" i="1" s="1"/>
  <c r="N43" i="1"/>
  <c r="P43" i="1" s="1"/>
  <c r="N28" i="1"/>
  <c r="P28" i="1" s="1"/>
  <c r="I91" i="62" s="1"/>
  <c r="K91" i="62" s="1"/>
  <c r="N71" i="1"/>
  <c r="P71" i="1" s="1"/>
  <c r="N83" i="1"/>
  <c r="P83" i="1" s="1"/>
  <c r="N87" i="1"/>
  <c r="P87" i="1" s="1"/>
  <c r="I25" i="12" s="1"/>
  <c r="K25" i="12" s="1"/>
  <c r="L25" i="12" s="1"/>
  <c r="N110" i="1"/>
  <c r="P110" i="1" s="1"/>
  <c r="N73" i="1"/>
  <c r="P73" i="1" s="1"/>
  <c r="N66" i="1"/>
  <c r="P66" i="1" s="1"/>
  <c r="N58" i="1"/>
  <c r="P58" i="1" s="1"/>
  <c r="N50" i="1"/>
  <c r="P50" i="1" s="1"/>
  <c r="N42" i="1"/>
  <c r="P42" i="1" s="1"/>
  <c r="I29" i="10" s="1"/>
  <c r="K29" i="10" s="1"/>
  <c r="L29" i="10" s="1"/>
  <c r="N20" i="1"/>
  <c r="P20" i="1" s="1"/>
  <c r="I30" i="11" s="1"/>
  <c r="K30" i="11" s="1"/>
  <c r="L30" i="11" s="1"/>
  <c r="N16" i="1"/>
  <c r="P16" i="1" s="1"/>
  <c r="N12" i="1"/>
  <c r="P12" i="1" s="1"/>
  <c r="N101" i="1"/>
  <c r="P101" i="1" s="1"/>
  <c r="N107" i="1"/>
  <c r="P107" i="1" s="1"/>
  <c r="I26" i="53" s="1"/>
  <c r="K26" i="53" s="1"/>
  <c r="N105" i="1"/>
  <c r="P105" i="1" s="1"/>
  <c r="Y2" i="28" s="1"/>
  <c r="N49" i="1"/>
  <c r="P49" i="1" s="1"/>
  <c r="H1" i="9"/>
  <c r="C7" i="1"/>
  <c r="I53" i="62" l="1"/>
  <c r="K53" i="62" s="1"/>
  <c r="Q25" i="28"/>
  <c r="I71" i="62"/>
  <c r="K71" i="62" s="1"/>
  <c r="I48" i="62"/>
  <c r="K48" i="62" s="1"/>
  <c r="I46" i="62"/>
  <c r="K46" i="62" s="1"/>
  <c r="I44" i="62"/>
  <c r="K44" i="62" s="1"/>
  <c r="I40" i="62"/>
  <c r="K40" i="62" s="1"/>
  <c r="AB9" i="62"/>
  <c r="AB20" i="62" s="1"/>
  <c r="R16" i="62"/>
  <c r="R27" i="62"/>
  <c r="R24" i="62"/>
  <c r="I82" i="62"/>
  <c r="K82" i="62" s="1"/>
  <c r="I87" i="62"/>
  <c r="K87" i="62" s="1"/>
  <c r="I76" i="62"/>
  <c r="K76" i="62" s="1"/>
  <c r="I83" i="62"/>
  <c r="K83" i="62" s="1"/>
  <c r="I28" i="62"/>
  <c r="K28" i="62" s="1"/>
  <c r="I92" i="62"/>
  <c r="K92" i="62" s="1"/>
  <c r="I24" i="62"/>
  <c r="K24" i="62" s="1"/>
  <c r="Q18" i="62"/>
  <c r="I90" i="62"/>
  <c r="K90" i="62" s="1"/>
  <c r="I85" i="62"/>
  <c r="K85" i="62" s="1"/>
  <c r="I88" i="62"/>
  <c r="K88" i="62" s="1"/>
  <c r="I55" i="62"/>
  <c r="K55" i="62" s="1"/>
  <c r="I67" i="62"/>
  <c r="K67" i="62" s="1"/>
  <c r="I78" i="62"/>
  <c r="K78" i="62" s="1"/>
  <c r="I34" i="62"/>
  <c r="K34" i="62" s="1"/>
  <c r="R23" i="62"/>
  <c r="I26" i="62" s="1"/>
  <c r="K26" i="62" s="1"/>
  <c r="Q27" i="62"/>
  <c r="Q28" i="62" s="1"/>
  <c r="Q29" i="62" s="1"/>
  <c r="Y5" i="62"/>
  <c r="Y4" i="62"/>
  <c r="I22" i="62"/>
  <c r="K22" i="62" s="1"/>
  <c r="Y3" i="62"/>
  <c r="I89" i="62"/>
  <c r="K89" i="62" s="1"/>
  <c r="I63" i="62"/>
  <c r="K63" i="62" s="1"/>
  <c r="I84" i="62"/>
  <c r="K84" i="62" s="1"/>
  <c r="I32" i="62"/>
  <c r="K32" i="62" s="1"/>
  <c r="I51" i="62"/>
  <c r="K51" i="62" s="1"/>
  <c r="I38" i="62"/>
  <c r="K38" i="62" s="1"/>
  <c r="I59" i="62"/>
  <c r="K59" i="62" s="1"/>
  <c r="I36" i="62"/>
  <c r="K36" i="62" s="1"/>
  <c r="I29" i="62"/>
  <c r="K29" i="62" s="1"/>
  <c r="I81" i="62"/>
  <c r="K81" i="62" s="1"/>
  <c r="I86" i="62"/>
  <c r="K86" i="62" s="1"/>
  <c r="I25" i="62"/>
  <c r="K25" i="62" s="1"/>
  <c r="Y2" i="54"/>
  <c r="Y5" i="54" s="1"/>
  <c r="R3" i="34"/>
  <c r="R3" i="4"/>
  <c r="R3" i="35"/>
  <c r="I40" i="44"/>
  <c r="K40" i="44" s="1"/>
  <c r="L40" i="44" s="1"/>
  <c r="I35" i="22"/>
  <c r="K35" i="22" s="1"/>
  <c r="L35" i="22" s="1"/>
  <c r="I40" i="42"/>
  <c r="K40" i="42" s="1"/>
  <c r="L40" i="42" s="1"/>
  <c r="I40" i="15"/>
  <c r="K40" i="15" s="1"/>
  <c r="L40" i="15" s="1"/>
  <c r="Q3" i="4"/>
  <c r="Q4" i="4" s="1"/>
  <c r="Q5" i="4" s="1"/>
  <c r="Q3" i="35"/>
  <c r="Q4" i="35" s="1"/>
  <c r="Q5" i="35" s="1"/>
  <c r="Q3" i="34"/>
  <c r="Q4" i="34" s="1"/>
  <c r="Q5" i="34" s="1"/>
  <c r="AB9" i="12"/>
  <c r="AB9" i="53"/>
  <c r="AT9" i="53" s="1"/>
  <c r="AC4" i="53"/>
  <c r="AC4" i="12"/>
  <c r="AN4" i="41"/>
  <c r="I31" i="44"/>
  <c r="K31" i="44" s="1"/>
  <c r="L31" i="44" s="1"/>
  <c r="I31" i="42"/>
  <c r="K31" i="42" s="1"/>
  <c r="L31" i="42" s="1"/>
  <c r="I30" i="44"/>
  <c r="K30" i="44" s="1"/>
  <c r="L30" i="44" s="1"/>
  <c r="I30" i="42"/>
  <c r="K30" i="42" s="1"/>
  <c r="L30" i="42" s="1"/>
  <c r="I30" i="15"/>
  <c r="K30" i="15" s="1"/>
  <c r="L30" i="15" s="1"/>
  <c r="I27" i="22"/>
  <c r="K27" i="22" s="1"/>
  <c r="L27" i="22" s="1"/>
  <c r="I27" i="55"/>
  <c r="I25" i="22"/>
  <c r="K25" i="22" s="1"/>
  <c r="L25" i="22" s="1"/>
  <c r="I48" i="42"/>
  <c r="K48" i="42" s="1"/>
  <c r="L48" i="42" s="1"/>
  <c r="I48" i="44"/>
  <c r="K48" i="44" s="1"/>
  <c r="L48" i="44" s="1"/>
  <c r="I39" i="15"/>
  <c r="K39" i="15" s="1"/>
  <c r="L39" i="15" s="1"/>
  <c r="I50" i="42"/>
  <c r="K50" i="42" s="1"/>
  <c r="L50" i="42" s="1"/>
  <c r="I50" i="44"/>
  <c r="K50" i="44" s="1"/>
  <c r="L50" i="44" s="1"/>
  <c r="I49" i="15"/>
  <c r="K49" i="15" s="1"/>
  <c r="L49" i="15" s="1"/>
  <c r="I49" i="42"/>
  <c r="K49" i="42" s="1"/>
  <c r="L49" i="42" s="1"/>
  <c r="I49" i="44"/>
  <c r="K49" i="44" s="1"/>
  <c r="L49" i="44" s="1"/>
  <c r="I32" i="54"/>
  <c r="K32" i="54" s="1"/>
  <c r="L32" i="54" s="1"/>
  <c r="I35" i="53"/>
  <c r="K35" i="53" s="1"/>
  <c r="I38" i="12"/>
  <c r="K38" i="12" s="1"/>
  <c r="L38" i="12" s="1"/>
  <c r="I37" i="41"/>
  <c r="K37" i="41" s="1"/>
  <c r="I32" i="39"/>
  <c r="K32" i="39" s="1"/>
  <c r="L32" i="39" s="1"/>
  <c r="I32" i="2"/>
  <c r="K32" i="2" s="1"/>
  <c r="L32" i="2" s="1"/>
  <c r="I32" i="38"/>
  <c r="K32" i="38" s="1"/>
  <c r="L32" i="38" s="1"/>
  <c r="I33" i="4"/>
  <c r="K33" i="4" s="1"/>
  <c r="L33" i="4" s="1"/>
  <c r="I45" i="10"/>
  <c r="K45" i="10" s="1"/>
  <c r="L45" i="10" s="1"/>
  <c r="I33" i="35"/>
  <c r="K33" i="35" s="1"/>
  <c r="L33" i="35" s="1"/>
  <c r="I28" i="3"/>
  <c r="K28" i="3" s="1"/>
  <c r="L28" i="3" s="1"/>
  <c r="I28" i="37"/>
  <c r="K28" i="37" s="1"/>
  <c r="L28" i="37" s="1"/>
  <c r="I28" i="36"/>
  <c r="K28" i="36" s="1"/>
  <c r="L28" i="36" s="1"/>
  <c r="I33" i="34"/>
  <c r="K33" i="34" s="1"/>
  <c r="L33" i="34" s="1"/>
  <c r="I45" i="44"/>
  <c r="K45" i="44" s="1"/>
  <c r="I45" i="15"/>
  <c r="K45" i="15" s="1"/>
  <c r="I45" i="42"/>
  <c r="K45" i="42" s="1"/>
  <c r="I38" i="44"/>
  <c r="K38" i="44" s="1"/>
  <c r="L38" i="44" s="1"/>
  <c r="I38" i="15"/>
  <c r="K38" i="15" s="1"/>
  <c r="L38" i="15" s="1"/>
  <c r="I38" i="42"/>
  <c r="K38" i="42" s="1"/>
  <c r="L38" i="42" s="1"/>
  <c r="I27" i="41"/>
  <c r="K27" i="41" s="1"/>
  <c r="I31" i="10"/>
  <c r="K31" i="10" s="1"/>
  <c r="L31" i="10" s="1"/>
  <c r="I25" i="42"/>
  <c r="K25" i="42" s="1"/>
  <c r="L25" i="42" s="1"/>
  <c r="I25" i="15"/>
  <c r="K25" i="15" s="1"/>
  <c r="L25" i="15" s="1"/>
  <c r="I25" i="44"/>
  <c r="K25" i="44" s="1"/>
  <c r="L25" i="44" s="1"/>
  <c r="I47" i="42"/>
  <c r="K47" i="42" s="1"/>
  <c r="L47" i="42" s="1"/>
  <c r="I47" i="15"/>
  <c r="K47" i="15" s="1"/>
  <c r="L47" i="15" s="1"/>
  <c r="I47" i="44"/>
  <c r="K47" i="44" s="1"/>
  <c r="L47" i="44" s="1"/>
  <c r="I36" i="44"/>
  <c r="K36" i="44" s="1"/>
  <c r="L36" i="44" s="1"/>
  <c r="I36" i="15"/>
  <c r="K36" i="15" s="1"/>
  <c r="L36" i="15" s="1"/>
  <c r="I36" i="42"/>
  <c r="K36" i="42" s="1"/>
  <c r="L36" i="42" s="1"/>
  <c r="I31" i="40"/>
  <c r="K31" i="40" s="1"/>
  <c r="L31" i="40" s="1"/>
  <c r="I31" i="28"/>
  <c r="K31" i="28" s="1"/>
  <c r="L31" i="28" s="1"/>
  <c r="I25" i="2"/>
  <c r="K25" i="2" s="1"/>
  <c r="L25" i="2" s="1"/>
  <c r="I25" i="39"/>
  <c r="K25" i="39" s="1"/>
  <c r="L25" i="39" s="1"/>
  <c r="I25" i="38"/>
  <c r="K25" i="38" s="1"/>
  <c r="L25" i="38" s="1"/>
  <c r="I26" i="42"/>
  <c r="K26" i="42" s="1"/>
  <c r="L26" i="42" s="1"/>
  <c r="I26" i="15"/>
  <c r="K26" i="15" s="1"/>
  <c r="L26" i="15" s="1"/>
  <c r="I26" i="44"/>
  <c r="K26" i="44" s="1"/>
  <c r="L26" i="44" s="1"/>
  <c r="Q11" i="54"/>
  <c r="Q12" i="54" s="1"/>
  <c r="Q13" i="54" s="1"/>
  <c r="Q11" i="12"/>
  <c r="Q12" i="12" s="1"/>
  <c r="Q13" i="12" s="1"/>
  <c r="Q18" i="39"/>
  <c r="Q19" i="39" s="1"/>
  <c r="Q20" i="39" s="1"/>
  <c r="Q18" i="38"/>
  <c r="Q19" i="38" s="1"/>
  <c r="Q20" i="38" s="1"/>
  <c r="Q18" i="2"/>
  <c r="Q19" i="2" s="1"/>
  <c r="Q20" i="2" s="1"/>
  <c r="Q21" i="2" s="1"/>
  <c r="Q3" i="53"/>
  <c r="Q4" i="53" s="1"/>
  <c r="Q5" i="53" s="1"/>
  <c r="Q18" i="40"/>
  <c r="Q19" i="40" s="1"/>
  <c r="Q20" i="40" s="1"/>
  <c r="Q18" i="22"/>
  <c r="Q19" i="22" s="1"/>
  <c r="Q20" i="22" s="1"/>
  <c r="Q18" i="28"/>
  <c r="Q19" i="28" s="1"/>
  <c r="Q20" i="28" s="1"/>
  <c r="Q18" i="34"/>
  <c r="Q19" i="34" s="1"/>
  <c r="Q20" i="34" s="1"/>
  <c r="Q11" i="37"/>
  <c r="Q12" i="37" s="1"/>
  <c r="Q13" i="37" s="1"/>
  <c r="Q18" i="10"/>
  <c r="Q19" i="10" s="1"/>
  <c r="Q20" i="10" s="1"/>
  <c r="Q11" i="41"/>
  <c r="Q12" i="41" s="1"/>
  <c r="Q13" i="41" s="1"/>
  <c r="Q18" i="4"/>
  <c r="Q19" i="4" s="1"/>
  <c r="Q20" i="4" s="1"/>
  <c r="Q11" i="36"/>
  <c r="Q12" i="36" s="1"/>
  <c r="Q13" i="36" s="1"/>
  <c r="Q28" i="33"/>
  <c r="Q29" i="33" s="1"/>
  <c r="Q30" i="33" s="1"/>
  <c r="Q11" i="3"/>
  <c r="Q12" i="3" s="1"/>
  <c r="Q13" i="3" s="1"/>
  <c r="Q11" i="53"/>
  <c r="Q12" i="53" s="1"/>
  <c r="Q13" i="53" s="1"/>
  <c r="Q18" i="35"/>
  <c r="Q19" i="35" s="1"/>
  <c r="Q20" i="35" s="1"/>
  <c r="I48" i="15"/>
  <c r="K48" i="15" s="1"/>
  <c r="L48" i="15" s="1"/>
  <c r="I39" i="44"/>
  <c r="K39" i="44" s="1"/>
  <c r="L39" i="44" s="1"/>
  <c r="I39" i="42"/>
  <c r="K39" i="42" s="1"/>
  <c r="L39" i="42" s="1"/>
  <c r="AB9" i="41"/>
  <c r="AB14" i="41" s="1"/>
  <c r="I31" i="33"/>
  <c r="K31" i="33" s="1"/>
  <c r="K33" i="33" s="1"/>
  <c r="I22" i="42"/>
  <c r="K22" i="42" s="1"/>
  <c r="I22" i="15"/>
  <c r="K22" i="15" s="1"/>
  <c r="L22" i="15" s="1"/>
  <c r="I22" i="44"/>
  <c r="K22" i="44" s="1"/>
  <c r="I23" i="42"/>
  <c r="K23" i="42" s="1"/>
  <c r="L23" i="42" s="1"/>
  <c r="I23" i="15"/>
  <c r="K23" i="15" s="1"/>
  <c r="L23" i="15" s="1"/>
  <c r="I23" i="44"/>
  <c r="K23" i="44" s="1"/>
  <c r="L23" i="44" s="1"/>
  <c r="I45" i="22"/>
  <c r="K45" i="22" s="1"/>
  <c r="L45" i="22" s="1"/>
  <c r="I53" i="53"/>
  <c r="K53" i="53" s="1"/>
  <c r="I55" i="41"/>
  <c r="K55" i="41" s="1"/>
  <c r="I50" i="12"/>
  <c r="K50" i="12" s="1"/>
  <c r="L50" i="12" s="1"/>
  <c r="I48" i="39"/>
  <c r="K48" i="39" s="1"/>
  <c r="L48" i="39" s="1"/>
  <c r="I48" i="38"/>
  <c r="K48" i="38" s="1"/>
  <c r="L48" i="38" s="1"/>
  <c r="I48" i="2"/>
  <c r="K48" i="2" s="1"/>
  <c r="L48" i="2" s="1"/>
  <c r="I37" i="4"/>
  <c r="K37" i="4" s="1"/>
  <c r="L37" i="4" s="1"/>
  <c r="I58" i="10"/>
  <c r="K58" i="10" s="1"/>
  <c r="L58" i="10" s="1"/>
  <c r="I46" i="36"/>
  <c r="K46" i="36" s="1"/>
  <c r="L46" i="36" s="1"/>
  <c r="I46" i="37"/>
  <c r="K46" i="37" s="1"/>
  <c r="L46" i="37" s="1"/>
  <c r="I37" i="35"/>
  <c r="K37" i="35" s="1"/>
  <c r="L37" i="35" s="1"/>
  <c r="I37" i="34"/>
  <c r="K37" i="34" s="1"/>
  <c r="L37" i="34" s="1"/>
  <c r="I46" i="3"/>
  <c r="K46" i="3" s="1"/>
  <c r="L46" i="3" s="1"/>
  <c r="I52" i="33"/>
  <c r="K52" i="33" s="1"/>
  <c r="I28" i="41"/>
  <c r="K28" i="41" s="1"/>
  <c r="I30" i="12"/>
  <c r="K30" i="12" s="1"/>
  <c r="L30" i="12" s="1"/>
  <c r="I32" i="10"/>
  <c r="K32" i="10" s="1"/>
  <c r="L32" i="10" s="1"/>
  <c r="I23" i="41"/>
  <c r="K23" i="41" s="1"/>
  <c r="I23" i="12"/>
  <c r="K23" i="12" s="1"/>
  <c r="L23" i="12" s="1"/>
  <c r="I22" i="10"/>
  <c r="K22" i="10" s="1"/>
  <c r="L22" i="10" s="1"/>
  <c r="I24" i="10"/>
  <c r="K24" i="10" s="1"/>
  <c r="L24" i="10" s="1"/>
  <c r="R22" i="12"/>
  <c r="R23" i="12"/>
  <c r="I38" i="22"/>
  <c r="K38" i="22" s="1"/>
  <c r="L38" i="22" s="1"/>
  <c r="I46" i="53"/>
  <c r="K46" i="53" s="1"/>
  <c r="I40" i="54"/>
  <c r="K40" i="54" s="1"/>
  <c r="L40" i="54" s="1"/>
  <c r="I48" i="41"/>
  <c r="K48" i="41" s="1"/>
  <c r="I43" i="12"/>
  <c r="K43" i="12" s="1"/>
  <c r="L43" i="12" s="1"/>
  <c r="I41" i="39"/>
  <c r="K41" i="39" s="1"/>
  <c r="L41" i="39" s="1"/>
  <c r="I41" i="38"/>
  <c r="K41" i="38" s="1"/>
  <c r="L41" i="38" s="1"/>
  <c r="I44" i="40"/>
  <c r="K44" i="40" s="1"/>
  <c r="L44" i="40" s="1"/>
  <c r="I44" i="28"/>
  <c r="K44" i="28" s="1"/>
  <c r="L44" i="28" s="1"/>
  <c r="I41" i="2"/>
  <c r="K41" i="2" s="1"/>
  <c r="L41" i="2" s="1"/>
  <c r="I51" i="10"/>
  <c r="K51" i="10" s="1"/>
  <c r="L51" i="10" s="1"/>
  <c r="I39" i="36"/>
  <c r="K39" i="36" s="1"/>
  <c r="L39" i="36" s="1"/>
  <c r="I43" i="35"/>
  <c r="K43" i="35" s="1"/>
  <c r="L43" i="35" s="1"/>
  <c r="I39" i="37"/>
  <c r="K39" i="37" s="1"/>
  <c r="L39" i="37" s="1"/>
  <c r="I39" i="3"/>
  <c r="K39" i="3" s="1"/>
  <c r="L39" i="3" s="1"/>
  <c r="I43" i="4"/>
  <c r="K43" i="4" s="1"/>
  <c r="L43" i="4" s="1"/>
  <c r="I43" i="34"/>
  <c r="K43" i="34" s="1"/>
  <c r="L43" i="34" s="1"/>
  <c r="I45" i="33"/>
  <c r="K45" i="33" s="1"/>
  <c r="Q10" i="40"/>
  <c r="Q11" i="40" s="1"/>
  <c r="Q12" i="40" s="1"/>
  <c r="Q3" i="3"/>
  <c r="Q4" i="3" s="1"/>
  <c r="Q5" i="3" s="1"/>
  <c r="Q10" i="34"/>
  <c r="Q11" i="34" s="1"/>
  <c r="Q12" i="34" s="1"/>
  <c r="Q3" i="36"/>
  <c r="Q4" i="36" s="1"/>
  <c r="Q5" i="36" s="1"/>
  <c r="Q10" i="38"/>
  <c r="Q11" i="38" s="1"/>
  <c r="Q12" i="38" s="1"/>
  <c r="Q3" i="54"/>
  <c r="Q4" i="54" s="1"/>
  <c r="Q5" i="54" s="1"/>
  <c r="Q3" i="12"/>
  <c r="Q4" i="12" s="1"/>
  <c r="Q5" i="12" s="1"/>
  <c r="Q10" i="35"/>
  <c r="Q11" i="35" s="1"/>
  <c r="Q12" i="35" s="1"/>
  <c r="Q10" i="2"/>
  <c r="Q11" i="2" s="1"/>
  <c r="Q12" i="2" s="1"/>
  <c r="Q13" i="2" s="1"/>
  <c r="Q20" i="33"/>
  <c r="Q21" i="33" s="1"/>
  <c r="Q22" i="33" s="1"/>
  <c r="Q10" i="39"/>
  <c r="Q11" i="39" s="1"/>
  <c r="Q12" i="39" s="1"/>
  <c r="Q3" i="41"/>
  <c r="Q4" i="41" s="1"/>
  <c r="Q5" i="41" s="1"/>
  <c r="Q10" i="4"/>
  <c r="Q11" i="4" s="1"/>
  <c r="Q12" i="4" s="1"/>
  <c r="Q10" i="22"/>
  <c r="Q11" i="22" s="1"/>
  <c r="Q12" i="22" s="1"/>
  <c r="Q10" i="10"/>
  <c r="Q11" i="10" s="1"/>
  <c r="Q12" i="10" s="1"/>
  <c r="Q10" i="28"/>
  <c r="Q11" i="28" s="1"/>
  <c r="Q12" i="28" s="1"/>
  <c r="Q3" i="37"/>
  <c r="Q4" i="37" s="1"/>
  <c r="Q5" i="37" s="1"/>
  <c r="I27" i="54"/>
  <c r="K27" i="54" s="1"/>
  <c r="L27" i="54" s="1"/>
  <c r="I27" i="4"/>
  <c r="K27" i="4" s="1"/>
  <c r="L27" i="4" s="1"/>
  <c r="I27" i="35"/>
  <c r="K27" i="35" s="1"/>
  <c r="I27" i="34"/>
  <c r="K27" i="34" s="1"/>
  <c r="L27" i="34" s="1"/>
  <c r="Y2" i="40"/>
  <c r="Y2" i="39"/>
  <c r="Y2" i="38"/>
  <c r="Y2" i="2"/>
  <c r="I29" i="22"/>
  <c r="K29" i="22" s="1"/>
  <c r="L29" i="22" s="1"/>
  <c r="I24" i="22"/>
  <c r="K24" i="22" s="1"/>
  <c r="L24" i="22" s="1"/>
  <c r="I44" i="44"/>
  <c r="K44" i="44" s="1"/>
  <c r="L44" i="44" s="1"/>
  <c r="I44" i="42"/>
  <c r="K44" i="42" s="1"/>
  <c r="L44" i="42" s="1"/>
  <c r="I44" i="15"/>
  <c r="K44" i="15" s="1"/>
  <c r="L44" i="15" s="1"/>
  <c r="I26" i="12"/>
  <c r="K26" i="12" s="1"/>
  <c r="L26" i="12" s="1"/>
  <c r="I42" i="22"/>
  <c r="K42" i="22" s="1"/>
  <c r="L42" i="22" s="1"/>
  <c r="I50" i="53"/>
  <c r="K50" i="53" s="1"/>
  <c r="I44" i="54"/>
  <c r="K44" i="54" s="1"/>
  <c r="L44" i="54" s="1"/>
  <c r="I52" i="41"/>
  <c r="K52" i="41" s="1"/>
  <c r="I47" i="12"/>
  <c r="K47" i="12" s="1"/>
  <c r="L47" i="12" s="1"/>
  <c r="I45" i="39"/>
  <c r="K45" i="39" s="1"/>
  <c r="L45" i="39" s="1"/>
  <c r="I45" i="2"/>
  <c r="K45" i="2" s="1"/>
  <c r="L45" i="2" s="1"/>
  <c r="I45" i="38"/>
  <c r="K45" i="38" s="1"/>
  <c r="L45" i="38" s="1"/>
  <c r="I48" i="40"/>
  <c r="K48" i="40" s="1"/>
  <c r="L48" i="40" s="1"/>
  <c r="I48" i="28"/>
  <c r="K48" i="28" s="1"/>
  <c r="L48" i="28" s="1"/>
  <c r="I55" i="10"/>
  <c r="K55" i="10" s="1"/>
  <c r="L55" i="10" s="1"/>
  <c r="I43" i="36"/>
  <c r="K43" i="36" s="1"/>
  <c r="L43" i="36" s="1"/>
  <c r="I47" i="35"/>
  <c r="K47" i="35" s="1"/>
  <c r="L47" i="35" s="1"/>
  <c r="I43" i="37"/>
  <c r="K43" i="37" s="1"/>
  <c r="L43" i="37" s="1"/>
  <c r="I43" i="3"/>
  <c r="K43" i="3" s="1"/>
  <c r="L43" i="3" s="1"/>
  <c r="I47" i="4"/>
  <c r="K47" i="4" s="1"/>
  <c r="L47" i="4" s="1"/>
  <c r="I47" i="34"/>
  <c r="K47" i="34" s="1"/>
  <c r="L47" i="34" s="1"/>
  <c r="I49" i="33"/>
  <c r="K49" i="33" s="1"/>
  <c r="I26" i="39"/>
  <c r="K26" i="39" s="1"/>
  <c r="L26" i="39" s="1"/>
  <c r="I26" i="2"/>
  <c r="K26" i="2" s="1"/>
  <c r="L26" i="2" s="1"/>
  <c r="I26" i="38"/>
  <c r="K26" i="38" s="1"/>
  <c r="L26" i="38" s="1"/>
  <c r="I29" i="54"/>
  <c r="K29" i="54" s="1"/>
  <c r="L29" i="54" s="1"/>
  <c r="I29" i="4"/>
  <c r="K29" i="4" s="1"/>
  <c r="L29" i="4" s="1"/>
  <c r="I33" i="36"/>
  <c r="K33" i="36" s="1"/>
  <c r="L33" i="36" s="1"/>
  <c r="I29" i="35"/>
  <c r="K29" i="35" s="1"/>
  <c r="L29" i="35" s="1"/>
  <c r="I29" i="34"/>
  <c r="K29" i="34" s="1"/>
  <c r="L29" i="34" s="1"/>
  <c r="I33" i="37"/>
  <c r="K33" i="37" s="1"/>
  <c r="L33" i="37" s="1"/>
  <c r="I33" i="3"/>
  <c r="K33" i="3" s="1"/>
  <c r="L33" i="3" s="1"/>
  <c r="Q4" i="40"/>
  <c r="Q5" i="28"/>
  <c r="Q3" i="2"/>
  <c r="Q4" i="2" s="1"/>
  <c r="Q5" i="2" s="1"/>
  <c r="Q6" i="2" s="1"/>
  <c r="Q4" i="28"/>
  <c r="Q6" i="28"/>
  <c r="Q3" i="10"/>
  <c r="Q4" i="10" s="1"/>
  <c r="Q5" i="10" s="1"/>
  <c r="Q6" i="10" s="1"/>
  <c r="Q5" i="40"/>
  <c r="Q3" i="22"/>
  <c r="Q4" i="22" s="1"/>
  <c r="Q5" i="22" s="1"/>
  <c r="Q6" i="40"/>
  <c r="Q3" i="38"/>
  <c r="Q4" i="38" s="1"/>
  <c r="Q3" i="39"/>
  <c r="Q4" i="39" s="1"/>
  <c r="Q3" i="28"/>
  <c r="Q3" i="40"/>
  <c r="I23" i="40"/>
  <c r="K23" i="40" s="1"/>
  <c r="L23" i="40" s="1"/>
  <c r="I23" i="28"/>
  <c r="K23" i="28" s="1"/>
  <c r="I23" i="39"/>
  <c r="K23" i="39" s="1"/>
  <c r="L23" i="39" s="1"/>
  <c r="I23" i="2"/>
  <c r="K23" i="2" s="1"/>
  <c r="L23" i="2" s="1"/>
  <c r="I23" i="38"/>
  <c r="K23" i="38" s="1"/>
  <c r="L23" i="38" s="1"/>
  <c r="I39" i="10"/>
  <c r="K39" i="10" s="1"/>
  <c r="I27" i="40"/>
  <c r="K27" i="40" s="1"/>
  <c r="L27" i="40" s="1"/>
  <c r="I27" i="28"/>
  <c r="K27" i="28" s="1"/>
  <c r="L27" i="28" s="1"/>
  <c r="I42" i="44"/>
  <c r="K42" i="44" s="1"/>
  <c r="I29" i="44"/>
  <c r="K29" i="44" s="1"/>
  <c r="I42" i="42"/>
  <c r="K42" i="42" s="1"/>
  <c r="I42" i="15"/>
  <c r="K42" i="15" s="1"/>
  <c r="L42" i="15" s="1"/>
  <c r="I29" i="15"/>
  <c r="K29" i="15" s="1"/>
  <c r="L29" i="15" s="1"/>
  <c r="I29" i="42"/>
  <c r="K29" i="42" s="1"/>
  <c r="I22" i="53"/>
  <c r="K22" i="53" s="1"/>
  <c r="I22" i="41"/>
  <c r="K22" i="41" s="1"/>
  <c r="I22" i="12"/>
  <c r="K22" i="12" s="1"/>
  <c r="L22" i="12" s="1"/>
  <c r="I23" i="10"/>
  <c r="K23" i="10" s="1"/>
  <c r="L23" i="10" s="1"/>
  <c r="I23" i="33"/>
  <c r="K23" i="33" s="1"/>
  <c r="I29" i="11"/>
  <c r="K29" i="11" s="1"/>
  <c r="L29" i="11" s="1"/>
  <c r="I33" i="10"/>
  <c r="K33" i="10" s="1"/>
  <c r="L33" i="10" s="1"/>
  <c r="I25" i="40"/>
  <c r="K25" i="40" s="1"/>
  <c r="L25" i="40" s="1"/>
  <c r="I25" i="28"/>
  <c r="K25" i="28" s="1"/>
  <c r="I47" i="22"/>
  <c r="K47" i="22" s="1"/>
  <c r="I34" i="54"/>
  <c r="K34" i="54" s="1"/>
  <c r="L34" i="54" s="1"/>
  <c r="I35" i="4"/>
  <c r="K35" i="4" s="1"/>
  <c r="L35" i="4" s="1"/>
  <c r="I32" i="36"/>
  <c r="K32" i="36" s="1"/>
  <c r="L32" i="36" s="1"/>
  <c r="I35" i="35"/>
  <c r="K35" i="35" s="1"/>
  <c r="L35" i="35" s="1"/>
  <c r="I35" i="34"/>
  <c r="K35" i="34" s="1"/>
  <c r="L35" i="34" s="1"/>
  <c r="I32" i="37"/>
  <c r="K32" i="37" s="1"/>
  <c r="L32" i="37" s="1"/>
  <c r="I32" i="3"/>
  <c r="K32" i="3" s="1"/>
  <c r="L32" i="3" s="1"/>
  <c r="I51" i="22"/>
  <c r="K51" i="22" s="1"/>
  <c r="I48" i="54"/>
  <c r="K48" i="54" s="1"/>
  <c r="I35" i="40"/>
  <c r="K35" i="40" s="1"/>
  <c r="L35" i="40" s="1"/>
  <c r="I35" i="28"/>
  <c r="K35" i="28" s="1"/>
  <c r="L35" i="28" s="1"/>
  <c r="I51" i="4"/>
  <c r="K51" i="4" s="1"/>
  <c r="I51" i="35"/>
  <c r="K51" i="35" s="1"/>
  <c r="I51" i="34"/>
  <c r="K51" i="34" s="1"/>
  <c r="I44" i="22"/>
  <c r="K44" i="22" s="1"/>
  <c r="L44" i="22" s="1"/>
  <c r="I46" i="54"/>
  <c r="K46" i="54" s="1"/>
  <c r="L46" i="54" s="1"/>
  <c r="I52" i="53"/>
  <c r="K52" i="53" s="1"/>
  <c r="L27" i="53" s="1"/>
  <c r="I54" i="41"/>
  <c r="K54" i="41" s="1"/>
  <c r="I49" i="12"/>
  <c r="K49" i="12" s="1"/>
  <c r="L49" i="12" s="1"/>
  <c r="I47" i="39"/>
  <c r="K47" i="39" s="1"/>
  <c r="L47" i="39" s="1"/>
  <c r="I47" i="38"/>
  <c r="K47" i="38" s="1"/>
  <c r="L47" i="38" s="1"/>
  <c r="I50" i="40"/>
  <c r="K50" i="40" s="1"/>
  <c r="L50" i="40" s="1"/>
  <c r="I50" i="28"/>
  <c r="K50" i="28" s="1"/>
  <c r="L50" i="28" s="1"/>
  <c r="I47" i="2"/>
  <c r="K47" i="2" s="1"/>
  <c r="L47" i="2" s="1"/>
  <c r="I57" i="10"/>
  <c r="K57" i="10" s="1"/>
  <c r="L57" i="10" s="1"/>
  <c r="I45" i="36"/>
  <c r="K45" i="36" s="1"/>
  <c r="L45" i="36" s="1"/>
  <c r="I49" i="35"/>
  <c r="K49" i="35" s="1"/>
  <c r="L49" i="35" s="1"/>
  <c r="I45" i="37"/>
  <c r="K45" i="37" s="1"/>
  <c r="L45" i="37" s="1"/>
  <c r="I45" i="3"/>
  <c r="K45" i="3" s="1"/>
  <c r="L45" i="3" s="1"/>
  <c r="I49" i="34"/>
  <c r="K49" i="34" s="1"/>
  <c r="L49" i="34" s="1"/>
  <c r="I49" i="4"/>
  <c r="K49" i="4" s="1"/>
  <c r="L49" i="4" s="1"/>
  <c r="I51" i="33"/>
  <c r="K51" i="33" s="1"/>
  <c r="I41" i="22"/>
  <c r="K41" i="22" s="1"/>
  <c r="L41" i="22" s="1"/>
  <c r="I43" i="54"/>
  <c r="K43" i="54" s="1"/>
  <c r="L43" i="54" s="1"/>
  <c r="I49" i="53"/>
  <c r="K49" i="53" s="1"/>
  <c r="I51" i="41"/>
  <c r="K51" i="41" s="1"/>
  <c r="I46" i="12"/>
  <c r="K46" i="12" s="1"/>
  <c r="L46" i="12" s="1"/>
  <c r="I44" i="39"/>
  <c r="K44" i="39" s="1"/>
  <c r="L44" i="39" s="1"/>
  <c r="I47" i="28"/>
  <c r="K47" i="28" s="1"/>
  <c r="L47" i="28" s="1"/>
  <c r="I44" i="38"/>
  <c r="K44" i="38" s="1"/>
  <c r="L44" i="38" s="1"/>
  <c r="I47" i="40"/>
  <c r="K47" i="40" s="1"/>
  <c r="L47" i="40" s="1"/>
  <c r="I44" i="2"/>
  <c r="K44" i="2" s="1"/>
  <c r="L44" i="2" s="1"/>
  <c r="I54" i="10"/>
  <c r="K54" i="10" s="1"/>
  <c r="L54" i="10" s="1"/>
  <c r="I42" i="36"/>
  <c r="K42" i="36" s="1"/>
  <c r="L42" i="36" s="1"/>
  <c r="I46" i="35"/>
  <c r="K46" i="35" s="1"/>
  <c r="L46" i="35" s="1"/>
  <c r="I42" i="37"/>
  <c r="K42" i="37" s="1"/>
  <c r="L42" i="37" s="1"/>
  <c r="I42" i="3"/>
  <c r="K42" i="3" s="1"/>
  <c r="L42" i="3" s="1"/>
  <c r="I46" i="4"/>
  <c r="K46" i="4" s="1"/>
  <c r="L46" i="4" s="1"/>
  <c r="I46" i="34"/>
  <c r="K46" i="34" s="1"/>
  <c r="L46" i="34" s="1"/>
  <c r="I48" i="33"/>
  <c r="K48" i="33" s="1"/>
  <c r="I43" i="22"/>
  <c r="K43" i="22" s="1"/>
  <c r="L43" i="22" s="1"/>
  <c r="I51" i="53"/>
  <c r="K51" i="53" s="1"/>
  <c r="I45" i="54"/>
  <c r="K45" i="54" s="1"/>
  <c r="L45" i="54" s="1"/>
  <c r="I53" i="41"/>
  <c r="K53" i="41" s="1"/>
  <c r="I48" i="12"/>
  <c r="K48" i="12" s="1"/>
  <c r="L48" i="12" s="1"/>
  <c r="I46" i="39"/>
  <c r="K46" i="39" s="1"/>
  <c r="L46" i="39" s="1"/>
  <c r="I46" i="38"/>
  <c r="K46" i="38" s="1"/>
  <c r="L46" i="38" s="1"/>
  <c r="I49" i="40"/>
  <c r="K49" i="40" s="1"/>
  <c r="L49" i="40" s="1"/>
  <c r="I49" i="28"/>
  <c r="K49" i="28" s="1"/>
  <c r="L49" i="28" s="1"/>
  <c r="I46" i="2"/>
  <c r="K46" i="2" s="1"/>
  <c r="L46" i="2" s="1"/>
  <c r="I56" i="10"/>
  <c r="K56" i="10" s="1"/>
  <c r="L56" i="10" s="1"/>
  <c r="I44" i="36"/>
  <c r="K44" i="36" s="1"/>
  <c r="L44" i="36" s="1"/>
  <c r="I48" i="35"/>
  <c r="K48" i="35" s="1"/>
  <c r="L48" i="35" s="1"/>
  <c r="I44" i="37"/>
  <c r="K44" i="37" s="1"/>
  <c r="L44" i="37" s="1"/>
  <c r="I44" i="3"/>
  <c r="K44" i="3" s="1"/>
  <c r="L44" i="3" s="1"/>
  <c r="I48" i="4"/>
  <c r="K48" i="4" s="1"/>
  <c r="L48" i="4" s="1"/>
  <c r="I48" i="34"/>
  <c r="K48" i="34" s="1"/>
  <c r="L48" i="34" s="1"/>
  <c r="I50" i="33"/>
  <c r="K50" i="33" s="1"/>
  <c r="I28" i="22"/>
  <c r="K28" i="22" s="1"/>
  <c r="L28" i="22" s="1"/>
  <c r="I33" i="44"/>
  <c r="K33" i="44" s="1"/>
  <c r="L33" i="44" s="1"/>
  <c r="I33" i="15"/>
  <c r="K33" i="15" s="1"/>
  <c r="L33" i="15" s="1"/>
  <c r="I33" i="42"/>
  <c r="K33" i="42" s="1"/>
  <c r="L33" i="42" s="1"/>
  <c r="Q11" i="33"/>
  <c r="Q12" i="33" s="1"/>
  <c r="Q13" i="33" s="1"/>
  <c r="I34" i="44"/>
  <c r="K34" i="44" s="1"/>
  <c r="L34" i="44" s="1"/>
  <c r="I34" i="15"/>
  <c r="K34" i="15" s="1"/>
  <c r="L34" i="15" s="1"/>
  <c r="I34" i="42"/>
  <c r="K34" i="42" s="1"/>
  <c r="L34" i="42" s="1"/>
  <c r="I30" i="40"/>
  <c r="K30" i="40" s="1"/>
  <c r="L30" i="40" s="1"/>
  <c r="I30" i="28"/>
  <c r="K30" i="28" s="1"/>
  <c r="I49" i="22"/>
  <c r="K49" i="22" s="1"/>
  <c r="L49" i="22" s="1"/>
  <c r="I23" i="22"/>
  <c r="K23" i="22" s="1"/>
  <c r="L23" i="22" s="1"/>
  <c r="Y5" i="28"/>
  <c r="Y4" i="28"/>
  <c r="Y3" i="28"/>
  <c r="I33" i="22"/>
  <c r="K33" i="22" s="1"/>
  <c r="L33" i="22" s="1"/>
  <c r="I31" i="54"/>
  <c r="K31" i="54" s="1"/>
  <c r="L31" i="54" s="1"/>
  <c r="I42" i="53"/>
  <c r="K42" i="53" s="1"/>
  <c r="I44" i="41"/>
  <c r="K44" i="41" s="1"/>
  <c r="I38" i="40"/>
  <c r="K38" i="40" s="1"/>
  <c r="L38" i="40" s="1"/>
  <c r="I38" i="28"/>
  <c r="K38" i="28" s="1"/>
  <c r="L38" i="28" s="1"/>
  <c r="I35" i="39"/>
  <c r="K35" i="39" s="1"/>
  <c r="L35" i="39" s="1"/>
  <c r="I35" i="2"/>
  <c r="K35" i="2" s="1"/>
  <c r="L35" i="2" s="1"/>
  <c r="I35" i="38"/>
  <c r="K35" i="38" s="1"/>
  <c r="L35" i="38" s="1"/>
  <c r="I44" i="10"/>
  <c r="K44" i="10" s="1"/>
  <c r="L44" i="10" s="1"/>
  <c r="I32" i="4"/>
  <c r="K32" i="4" s="1"/>
  <c r="L32" i="4" s="1"/>
  <c r="I31" i="36"/>
  <c r="K31" i="36" s="1"/>
  <c r="L31" i="36" s="1"/>
  <c r="I31" i="3"/>
  <c r="K31" i="3" s="1"/>
  <c r="L31" i="3" s="1"/>
  <c r="I32" i="35"/>
  <c r="K32" i="35" s="1"/>
  <c r="L32" i="35" s="1"/>
  <c r="I32" i="34"/>
  <c r="K32" i="34" s="1"/>
  <c r="L32" i="34" s="1"/>
  <c r="I31" i="37"/>
  <c r="K31" i="37" s="1"/>
  <c r="L31" i="37" s="1"/>
  <c r="I40" i="33"/>
  <c r="K40" i="33" s="1"/>
  <c r="I27" i="42"/>
  <c r="K27" i="42" s="1"/>
  <c r="L27" i="42" s="1"/>
  <c r="I24" i="53"/>
  <c r="K24" i="53" s="1"/>
  <c r="I27" i="15"/>
  <c r="K27" i="15" s="1"/>
  <c r="L27" i="15" s="1"/>
  <c r="I27" i="44"/>
  <c r="K27" i="44" s="1"/>
  <c r="L27" i="44" s="1"/>
  <c r="I25" i="41"/>
  <c r="K25" i="41" s="1"/>
  <c r="I29" i="12"/>
  <c r="K29" i="12" s="1"/>
  <c r="L29" i="12" s="1"/>
  <c r="I30" i="10"/>
  <c r="K30" i="10" s="1"/>
  <c r="L30" i="10" s="1"/>
  <c r="I37" i="22"/>
  <c r="K37" i="22" s="1"/>
  <c r="L37" i="22" s="1"/>
  <c r="I45" i="53"/>
  <c r="K45" i="53" s="1"/>
  <c r="I39" i="54"/>
  <c r="K39" i="54" s="1"/>
  <c r="L39" i="54" s="1"/>
  <c r="I47" i="41"/>
  <c r="K47" i="41" s="1"/>
  <c r="I42" i="12"/>
  <c r="K42" i="12" s="1"/>
  <c r="L42" i="12" s="1"/>
  <c r="I40" i="39"/>
  <c r="K40" i="39" s="1"/>
  <c r="L40" i="39" s="1"/>
  <c r="I40" i="38"/>
  <c r="K40" i="38" s="1"/>
  <c r="L40" i="38" s="1"/>
  <c r="I43" i="40"/>
  <c r="K43" i="40" s="1"/>
  <c r="L43" i="40" s="1"/>
  <c r="I43" i="28"/>
  <c r="K43" i="28" s="1"/>
  <c r="L43" i="28" s="1"/>
  <c r="I40" i="2"/>
  <c r="K40" i="2" s="1"/>
  <c r="L40" i="2" s="1"/>
  <c r="I50" i="10"/>
  <c r="K50" i="10" s="1"/>
  <c r="L50" i="10" s="1"/>
  <c r="I38" i="36"/>
  <c r="K38" i="36" s="1"/>
  <c r="L38" i="36" s="1"/>
  <c r="I42" i="35"/>
  <c r="K42" i="35" s="1"/>
  <c r="L42" i="35" s="1"/>
  <c r="I38" i="37"/>
  <c r="K38" i="37" s="1"/>
  <c r="L38" i="37" s="1"/>
  <c r="I38" i="3"/>
  <c r="K38" i="3" s="1"/>
  <c r="L38" i="3" s="1"/>
  <c r="I42" i="4"/>
  <c r="K42" i="4" s="1"/>
  <c r="L42" i="4" s="1"/>
  <c r="I42" i="34"/>
  <c r="K42" i="34" s="1"/>
  <c r="L42" i="34" s="1"/>
  <c r="I44" i="33"/>
  <c r="K44" i="33" s="1"/>
  <c r="I36" i="4"/>
  <c r="K36" i="4" s="1"/>
  <c r="L36" i="4" s="1"/>
  <c r="I36" i="35"/>
  <c r="K36" i="35" s="1"/>
  <c r="L36" i="35" s="1"/>
  <c r="I36" i="34"/>
  <c r="K36" i="34" s="1"/>
  <c r="L36" i="34" s="1"/>
  <c r="I36" i="53"/>
  <c r="K36" i="53" s="1"/>
  <c r="I38" i="41"/>
  <c r="K38" i="41" s="1"/>
  <c r="I32" i="12"/>
  <c r="K32" i="12" s="1"/>
  <c r="L32" i="12" s="1"/>
  <c r="I42" i="10"/>
  <c r="K42" i="10" s="1"/>
  <c r="L42" i="10" s="1"/>
  <c r="I30" i="22"/>
  <c r="K30" i="22" s="1"/>
  <c r="L30" i="22" s="1"/>
  <c r="I33" i="54"/>
  <c r="K33" i="54" s="1"/>
  <c r="L33" i="54" s="1"/>
  <c r="I34" i="40"/>
  <c r="K34" i="40" s="1"/>
  <c r="L34" i="40" s="1"/>
  <c r="I34" i="28"/>
  <c r="K34" i="28" s="1"/>
  <c r="I31" i="2"/>
  <c r="K31" i="2" s="1"/>
  <c r="L31" i="2" s="1"/>
  <c r="I31" i="39"/>
  <c r="K31" i="39" s="1"/>
  <c r="L31" i="39" s="1"/>
  <c r="I31" i="38"/>
  <c r="K31" i="38" s="1"/>
  <c r="L31" i="38" s="1"/>
  <c r="I34" i="4"/>
  <c r="K34" i="4" s="1"/>
  <c r="L34" i="4" s="1"/>
  <c r="I29" i="36"/>
  <c r="K29" i="36" s="1"/>
  <c r="L29" i="36" s="1"/>
  <c r="I29" i="37"/>
  <c r="K29" i="37" s="1"/>
  <c r="L29" i="37" s="1"/>
  <c r="I29" i="3"/>
  <c r="K29" i="3" s="1"/>
  <c r="L29" i="3" s="1"/>
  <c r="I34" i="35"/>
  <c r="K34" i="35" s="1"/>
  <c r="L34" i="35" s="1"/>
  <c r="I34" i="34"/>
  <c r="K34" i="34" s="1"/>
  <c r="L34" i="34" s="1"/>
  <c r="I37" i="33"/>
  <c r="K37" i="33" s="1"/>
  <c r="I46" i="42"/>
  <c r="K46" i="42" s="1"/>
  <c r="L46" i="42" s="1"/>
  <c r="I46" i="44"/>
  <c r="K46" i="44" s="1"/>
  <c r="L46" i="44" s="1"/>
  <c r="I46" i="15"/>
  <c r="K46" i="15" s="1"/>
  <c r="L46" i="15" s="1"/>
  <c r="I41" i="33"/>
  <c r="K41" i="33" s="1"/>
  <c r="L41" i="33" s="1"/>
  <c r="I40" i="22"/>
  <c r="K40" i="22" s="1"/>
  <c r="L40" i="22" s="1"/>
  <c r="I48" i="53"/>
  <c r="K48" i="53" s="1"/>
  <c r="I42" i="54"/>
  <c r="K42" i="54" s="1"/>
  <c r="L42" i="54" s="1"/>
  <c r="I50" i="41"/>
  <c r="K50" i="41" s="1"/>
  <c r="I45" i="12"/>
  <c r="K45" i="12" s="1"/>
  <c r="L45" i="12" s="1"/>
  <c r="I43" i="39"/>
  <c r="K43" i="39" s="1"/>
  <c r="L43" i="39" s="1"/>
  <c r="I43" i="38"/>
  <c r="K43" i="38" s="1"/>
  <c r="L43" i="38" s="1"/>
  <c r="I46" i="40"/>
  <c r="K46" i="40" s="1"/>
  <c r="L46" i="40" s="1"/>
  <c r="I46" i="28"/>
  <c r="K46" i="28" s="1"/>
  <c r="L46" i="28" s="1"/>
  <c r="I43" i="2"/>
  <c r="K43" i="2" s="1"/>
  <c r="L43" i="2" s="1"/>
  <c r="I53" i="10"/>
  <c r="K53" i="10" s="1"/>
  <c r="L53" i="10" s="1"/>
  <c r="I41" i="36"/>
  <c r="K41" i="36" s="1"/>
  <c r="L41" i="36" s="1"/>
  <c r="I45" i="35"/>
  <c r="K45" i="35" s="1"/>
  <c r="L45" i="35" s="1"/>
  <c r="I41" i="37"/>
  <c r="K41" i="37" s="1"/>
  <c r="L41" i="37" s="1"/>
  <c r="I41" i="3"/>
  <c r="K41" i="3" s="1"/>
  <c r="L41" i="3" s="1"/>
  <c r="I45" i="4"/>
  <c r="K45" i="4" s="1"/>
  <c r="L45" i="4" s="1"/>
  <c r="I45" i="34"/>
  <c r="K45" i="34" s="1"/>
  <c r="L45" i="34" s="1"/>
  <c r="I47" i="33"/>
  <c r="K47" i="33" s="1"/>
  <c r="I52" i="44"/>
  <c r="K52" i="44" s="1"/>
  <c r="I52" i="15"/>
  <c r="K52" i="15" s="1"/>
  <c r="L52" i="15" s="1"/>
  <c r="I52" i="42"/>
  <c r="K52" i="42" s="1"/>
  <c r="L52" i="42" s="1"/>
  <c r="I28" i="53"/>
  <c r="K28" i="53" s="1"/>
  <c r="I30" i="41"/>
  <c r="K30" i="41" s="1"/>
  <c r="Q26" i="10"/>
  <c r="Q27" i="10" s="1"/>
  <c r="Q28" i="10" s="1"/>
  <c r="Q29" i="10" s="1"/>
  <c r="I29" i="41"/>
  <c r="K29" i="41" s="1"/>
  <c r="I33" i="12"/>
  <c r="K33" i="12" s="1"/>
  <c r="L33" i="12" s="1"/>
  <c r="I35" i="10"/>
  <c r="K35" i="10" s="1"/>
  <c r="L35" i="10" s="1"/>
  <c r="I28" i="54"/>
  <c r="K28" i="54" s="1"/>
  <c r="L28" i="54" s="1"/>
  <c r="I28" i="4"/>
  <c r="K28" i="4" s="1"/>
  <c r="L28" i="4" s="1"/>
  <c r="I27" i="36"/>
  <c r="K27" i="36" s="1"/>
  <c r="L27" i="36" s="1"/>
  <c r="I27" i="37"/>
  <c r="K27" i="37" s="1"/>
  <c r="L27" i="37" s="1"/>
  <c r="I27" i="3"/>
  <c r="K27" i="3" s="1"/>
  <c r="L27" i="3" s="1"/>
  <c r="I28" i="35"/>
  <c r="K28" i="35" s="1"/>
  <c r="L28" i="35" s="1"/>
  <c r="I28" i="34"/>
  <c r="K28" i="34" s="1"/>
  <c r="L28" i="34" s="1"/>
  <c r="I34" i="33"/>
  <c r="K34" i="33" s="1"/>
  <c r="I26" i="40"/>
  <c r="K26" i="40" s="1"/>
  <c r="L26" i="40" s="1"/>
  <c r="I26" i="28"/>
  <c r="K26" i="28" s="1"/>
  <c r="L26" i="28" s="1"/>
  <c r="I36" i="22"/>
  <c r="K36" i="22" s="1"/>
  <c r="L36" i="22" s="1"/>
  <c r="I44" i="53"/>
  <c r="K44" i="53" s="1"/>
  <c r="I38" i="54"/>
  <c r="K38" i="54" s="1"/>
  <c r="L38" i="54" s="1"/>
  <c r="I46" i="41"/>
  <c r="K46" i="41" s="1"/>
  <c r="I41" i="12"/>
  <c r="K41" i="12" s="1"/>
  <c r="L41" i="12" s="1"/>
  <c r="I39" i="39"/>
  <c r="K39" i="39" s="1"/>
  <c r="L39" i="39" s="1"/>
  <c r="I39" i="2"/>
  <c r="K39" i="2" s="1"/>
  <c r="L39" i="2" s="1"/>
  <c r="I39" i="38"/>
  <c r="K39" i="38" s="1"/>
  <c r="L39" i="38" s="1"/>
  <c r="I42" i="40"/>
  <c r="K42" i="40" s="1"/>
  <c r="L42" i="40" s="1"/>
  <c r="I42" i="28"/>
  <c r="K42" i="28" s="1"/>
  <c r="L42" i="28" s="1"/>
  <c r="I49" i="10"/>
  <c r="K49" i="10" s="1"/>
  <c r="L49" i="10" s="1"/>
  <c r="I37" i="36"/>
  <c r="K37" i="36" s="1"/>
  <c r="L37" i="36" s="1"/>
  <c r="I41" i="35"/>
  <c r="K41" i="35" s="1"/>
  <c r="L41" i="35" s="1"/>
  <c r="I37" i="37"/>
  <c r="K37" i="37" s="1"/>
  <c r="L37" i="37" s="1"/>
  <c r="I37" i="3"/>
  <c r="K37" i="3" s="1"/>
  <c r="L37" i="3" s="1"/>
  <c r="I41" i="4"/>
  <c r="K41" i="4" s="1"/>
  <c r="L41" i="4" s="1"/>
  <c r="I41" i="34"/>
  <c r="K41" i="34" s="1"/>
  <c r="L41" i="34" s="1"/>
  <c r="I43" i="33"/>
  <c r="K43" i="33" s="1"/>
  <c r="Q28" i="40"/>
  <c r="S28" i="40" s="1"/>
  <c r="S25" i="40"/>
  <c r="Q26" i="40"/>
  <c r="S26" i="40" s="1"/>
  <c r="Q27" i="40"/>
  <c r="S27" i="40" s="1"/>
  <c r="AC4" i="41"/>
  <c r="AU4" i="41"/>
  <c r="I50" i="15"/>
  <c r="K50" i="15" s="1"/>
  <c r="L50" i="15" s="1"/>
  <c r="I37" i="53"/>
  <c r="K37" i="53" s="1"/>
  <c r="I39" i="41"/>
  <c r="K39" i="41" s="1"/>
  <c r="I24" i="11"/>
  <c r="K24" i="11" s="1"/>
  <c r="L24" i="11" s="1"/>
  <c r="I43" i="44"/>
  <c r="K43" i="44" s="1"/>
  <c r="L43" i="44" s="1"/>
  <c r="I35" i="44"/>
  <c r="K35" i="44" s="1"/>
  <c r="L35" i="44" s="1"/>
  <c r="I43" i="42"/>
  <c r="K43" i="42" s="1"/>
  <c r="L43" i="42" s="1"/>
  <c r="I43" i="15"/>
  <c r="K43" i="15" s="1"/>
  <c r="L43" i="15" s="1"/>
  <c r="I35" i="15"/>
  <c r="K35" i="15" s="1"/>
  <c r="L35" i="15" s="1"/>
  <c r="I35" i="42"/>
  <c r="K35" i="42" s="1"/>
  <c r="L35" i="42" s="1"/>
  <c r="I26" i="41"/>
  <c r="K26" i="41" s="1"/>
  <c r="I32" i="40"/>
  <c r="K32" i="40" s="1"/>
  <c r="L32" i="40" s="1"/>
  <c r="I32" i="28"/>
  <c r="K32" i="28" s="1"/>
  <c r="L32" i="28" s="1"/>
  <c r="I24" i="39"/>
  <c r="K24" i="39" s="1"/>
  <c r="L24" i="39" s="1"/>
  <c r="I24" i="2"/>
  <c r="K24" i="2" s="1"/>
  <c r="L24" i="2" s="1"/>
  <c r="I24" i="38"/>
  <c r="K24" i="38" s="1"/>
  <c r="L24" i="38" s="1"/>
  <c r="I34" i="10"/>
  <c r="K34" i="10" s="1"/>
  <c r="L34" i="10" s="1"/>
  <c r="R10" i="22"/>
  <c r="R3" i="41"/>
  <c r="R18" i="40"/>
  <c r="R11" i="33"/>
  <c r="R18" i="4"/>
  <c r="R10" i="34"/>
  <c r="R18" i="35"/>
  <c r="R11" i="3"/>
  <c r="R3" i="36"/>
  <c r="R26" i="10"/>
  <c r="R18" i="10"/>
  <c r="R11" i="54"/>
  <c r="R11" i="41"/>
  <c r="R10" i="4"/>
  <c r="R3" i="3"/>
  <c r="R18" i="39"/>
  <c r="R18" i="38"/>
  <c r="R3" i="22"/>
  <c r="R3" i="54"/>
  <c r="R3" i="12"/>
  <c r="R11" i="53"/>
  <c r="R3" i="40"/>
  <c r="R18" i="28"/>
  <c r="R3" i="28"/>
  <c r="R4" i="33"/>
  <c r="R28" i="33"/>
  <c r="R18" i="34"/>
  <c r="R10" i="35"/>
  <c r="R11" i="37"/>
  <c r="R3" i="10"/>
  <c r="R3" i="39"/>
  <c r="R3" i="38"/>
  <c r="R10" i="2"/>
  <c r="R10" i="28"/>
  <c r="R18" i="22"/>
  <c r="R3" i="53"/>
  <c r="R20" i="33"/>
  <c r="R11" i="36"/>
  <c r="R10" i="10"/>
  <c r="R10" i="39"/>
  <c r="R10" i="38"/>
  <c r="R11" i="12"/>
  <c r="R10" i="40"/>
  <c r="R3" i="37"/>
  <c r="R18" i="2"/>
  <c r="R3" i="2"/>
  <c r="Q4" i="11"/>
  <c r="S4" i="11" s="1"/>
  <c r="U4" i="11" s="1"/>
  <c r="Q5" i="11"/>
  <c r="S5" i="11" s="1"/>
  <c r="U5" i="11" s="1"/>
  <c r="Q3" i="11"/>
  <c r="S3" i="11" s="1"/>
  <c r="U3" i="11" s="1"/>
  <c r="Q2" i="11"/>
  <c r="S2" i="11" s="1"/>
  <c r="U2" i="11" s="1"/>
  <c r="I37" i="44"/>
  <c r="K37" i="44" s="1"/>
  <c r="L37" i="44" s="1"/>
  <c r="I37" i="15"/>
  <c r="K37" i="15" s="1"/>
  <c r="L37" i="15" s="1"/>
  <c r="I37" i="42"/>
  <c r="K37" i="42" s="1"/>
  <c r="L37" i="42" s="1"/>
  <c r="I28" i="10"/>
  <c r="K28" i="10" s="1"/>
  <c r="L28" i="10" s="1"/>
  <c r="I32" i="44"/>
  <c r="K32" i="44" s="1"/>
  <c r="L32" i="44" s="1"/>
  <c r="I31" i="15"/>
  <c r="K31" i="15" s="1"/>
  <c r="L31" i="15" s="1"/>
  <c r="I32" i="42"/>
  <c r="K32" i="42" s="1"/>
  <c r="L32" i="42" s="1"/>
  <c r="I28" i="12"/>
  <c r="K28" i="12" s="1"/>
  <c r="L28" i="12" s="1"/>
  <c r="I39" i="22"/>
  <c r="K39" i="22" s="1"/>
  <c r="L39" i="22" s="1"/>
  <c r="I47" i="53"/>
  <c r="K47" i="53" s="1"/>
  <c r="I41" i="54"/>
  <c r="K41" i="54" s="1"/>
  <c r="L41" i="54" s="1"/>
  <c r="I49" i="41"/>
  <c r="K49" i="41" s="1"/>
  <c r="I44" i="12"/>
  <c r="K44" i="12" s="1"/>
  <c r="L44" i="12" s="1"/>
  <c r="I42" i="39"/>
  <c r="K42" i="39" s="1"/>
  <c r="L42" i="39" s="1"/>
  <c r="I42" i="2"/>
  <c r="K42" i="2" s="1"/>
  <c r="L42" i="2" s="1"/>
  <c r="I42" i="38"/>
  <c r="K42" i="38" s="1"/>
  <c r="L42" i="38" s="1"/>
  <c r="I45" i="40"/>
  <c r="K45" i="40" s="1"/>
  <c r="L45" i="40" s="1"/>
  <c r="I45" i="28"/>
  <c r="K45" i="28" s="1"/>
  <c r="L45" i="28" s="1"/>
  <c r="I52" i="10"/>
  <c r="K52" i="10" s="1"/>
  <c r="L52" i="10" s="1"/>
  <c r="I40" i="36"/>
  <c r="K40" i="36" s="1"/>
  <c r="L40" i="36" s="1"/>
  <c r="I44" i="35"/>
  <c r="K44" i="35" s="1"/>
  <c r="L44" i="35" s="1"/>
  <c r="I40" i="37"/>
  <c r="K40" i="37" s="1"/>
  <c r="L40" i="37" s="1"/>
  <c r="I40" i="3"/>
  <c r="K40" i="3" s="1"/>
  <c r="L40" i="3" s="1"/>
  <c r="I44" i="4"/>
  <c r="K44" i="4" s="1"/>
  <c r="L44" i="4" s="1"/>
  <c r="I44" i="34"/>
  <c r="K44" i="34" s="1"/>
  <c r="L44" i="34" s="1"/>
  <c r="I46" i="33"/>
  <c r="K46" i="33" s="1"/>
  <c r="I22" i="22"/>
  <c r="K22" i="22" s="1"/>
  <c r="L22" i="22" s="1"/>
  <c r="I24" i="42"/>
  <c r="K24" i="42" s="1"/>
  <c r="L24" i="42" s="1"/>
  <c r="I24" i="15"/>
  <c r="K24" i="15" s="1"/>
  <c r="L24" i="15" s="1"/>
  <c r="I24" i="44"/>
  <c r="K24" i="44" s="1"/>
  <c r="L24" i="44" s="1"/>
  <c r="Q27" i="41"/>
  <c r="T27" i="41" s="1"/>
  <c r="V27" i="41" s="1"/>
  <c r="L31" i="41" s="1"/>
  <c r="Q30" i="41"/>
  <c r="T30" i="41" s="1"/>
  <c r="V30" i="41" s="1"/>
  <c r="Q29" i="53"/>
  <c r="T29" i="53" s="1"/>
  <c r="V29" i="53" s="1"/>
  <c r="Q26" i="53"/>
  <c r="T26" i="53" s="1"/>
  <c r="V26" i="53" s="1"/>
  <c r="Q29" i="41"/>
  <c r="T29" i="41" s="1"/>
  <c r="V29" i="41" s="1"/>
  <c r="Q27" i="53"/>
  <c r="T27" i="53" s="1"/>
  <c r="V27" i="53" s="1"/>
  <c r="Q28" i="41"/>
  <c r="T28" i="41" s="1"/>
  <c r="V28" i="41" s="1"/>
  <c r="Q28" i="53"/>
  <c r="T28" i="53" s="1"/>
  <c r="V28" i="53" s="1"/>
  <c r="Y27" i="10"/>
  <c r="I37" i="54"/>
  <c r="K37" i="54" s="1"/>
  <c r="I43" i="53"/>
  <c r="K43" i="53" s="1"/>
  <c r="I45" i="41"/>
  <c r="K45" i="41" s="1"/>
  <c r="I40" i="12"/>
  <c r="K40" i="12" s="1"/>
  <c r="L40" i="12" s="1"/>
  <c r="I28" i="11"/>
  <c r="K28" i="11" s="1"/>
  <c r="L28" i="11" s="1"/>
  <c r="I38" i="39"/>
  <c r="K38" i="39" s="1"/>
  <c r="L38" i="39" s="1"/>
  <c r="I38" i="38"/>
  <c r="K38" i="38" s="1"/>
  <c r="L38" i="38" s="1"/>
  <c r="I38" i="2"/>
  <c r="K38" i="2" s="1"/>
  <c r="L38" i="2" s="1"/>
  <c r="I40" i="4"/>
  <c r="K40" i="4" s="1"/>
  <c r="L40" i="4" s="1"/>
  <c r="I48" i="10"/>
  <c r="K48" i="10" s="1"/>
  <c r="L48" i="10" s="1"/>
  <c r="I40" i="34"/>
  <c r="K40" i="34" s="1"/>
  <c r="I36" i="37"/>
  <c r="K36" i="37" s="1"/>
  <c r="I36" i="36"/>
  <c r="K36" i="36" s="1"/>
  <c r="I40" i="35"/>
  <c r="K40" i="35" s="1"/>
  <c r="I36" i="3"/>
  <c r="K36" i="3" s="1"/>
  <c r="Y2" i="35"/>
  <c r="Y2" i="36"/>
  <c r="Y3" i="36" s="1"/>
  <c r="Y2" i="37"/>
  <c r="Y3" i="37" s="1"/>
  <c r="Y2" i="34"/>
  <c r="Y2" i="33"/>
  <c r="Y2" i="4"/>
  <c r="Y2" i="3"/>
  <c r="Y3" i="3" s="1"/>
  <c r="K22" i="33"/>
  <c r="L22" i="33" s="1"/>
  <c r="Q30" i="11"/>
  <c r="Q29" i="11"/>
  <c r="R28" i="11"/>
  <c r="Q31" i="11"/>
  <c r="G18" i="9"/>
  <c r="I18" i="9" s="1"/>
  <c r="K23" i="3"/>
  <c r="K22" i="2"/>
  <c r="I51" i="40"/>
  <c r="K51" i="40" s="1"/>
  <c r="I51" i="28"/>
  <c r="K51" i="28" s="1"/>
  <c r="I41" i="40"/>
  <c r="K41" i="40" s="1"/>
  <c r="I41" i="28"/>
  <c r="K41" i="28" s="1"/>
  <c r="K22" i="4"/>
  <c r="I34" i="12"/>
  <c r="K34" i="12" s="1"/>
  <c r="L34" i="12" s="1"/>
  <c r="Q5" i="33"/>
  <c r="Q6" i="33"/>
  <c r="Q4" i="33"/>
  <c r="Q28" i="28"/>
  <c r="S28" i="28" s="1"/>
  <c r="Q27" i="28"/>
  <c r="S27" i="28" s="1"/>
  <c r="Q26" i="28"/>
  <c r="S26" i="28" s="1"/>
  <c r="S25" i="28"/>
  <c r="R6" i="33"/>
  <c r="R5" i="33"/>
  <c r="Y4" i="54" l="1"/>
  <c r="L91" i="62"/>
  <c r="K50" i="62"/>
  <c r="K75" i="62"/>
  <c r="L82" i="62"/>
  <c r="L84" i="62"/>
  <c r="L29" i="62"/>
  <c r="L86" i="62"/>
  <c r="Y3" i="54"/>
  <c r="L25" i="62"/>
  <c r="L36" i="62"/>
  <c r="L67" i="62"/>
  <c r="L83" i="62"/>
  <c r="L77" i="62"/>
  <c r="L63" i="62"/>
  <c r="Q30" i="62"/>
  <c r="Q19" i="62"/>
  <c r="L89" i="62"/>
  <c r="L88" i="62"/>
  <c r="L24" i="62"/>
  <c r="L46" i="62"/>
  <c r="L40" i="62"/>
  <c r="L48" i="62"/>
  <c r="L73" i="62"/>
  <c r="L65" i="62"/>
  <c r="L42" i="62"/>
  <c r="L76" i="62"/>
  <c r="L69" i="62"/>
  <c r="L44" i="62"/>
  <c r="K79" i="62"/>
  <c r="L61" i="62"/>
  <c r="L38" i="62"/>
  <c r="T27" i="62"/>
  <c r="V27" i="62" s="1"/>
  <c r="R30" i="62"/>
  <c r="R29" i="62"/>
  <c r="T29" i="62" s="1"/>
  <c r="V29" i="62" s="1"/>
  <c r="R28" i="62"/>
  <c r="T28" i="62" s="1"/>
  <c r="V28" i="62" s="1"/>
  <c r="L81" i="62"/>
  <c r="L51" i="62"/>
  <c r="L34" i="62"/>
  <c r="L85" i="62"/>
  <c r="L92" i="62"/>
  <c r="L71" i="62"/>
  <c r="R19" i="62"/>
  <c r="T16" i="62"/>
  <c r="V16" i="62" s="1"/>
  <c r="R17" i="62"/>
  <c r="T17" i="62" s="1"/>
  <c r="V17" i="62" s="1"/>
  <c r="R18" i="62"/>
  <c r="T18" i="62" s="1"/>
  <c r="V18" i="62" s="1"/>
  <c r="L32" i="62"/>
  <c r="L87" i="62"/>
  <c r="AB14" i="62"/>
  <c r="AB12" i="62"/>
  <c r="AB23" i="62" s="1"/>
  <c r="AB11" i="62"/>
  <c r="AB22" i="62" s="1"/>
  <c r="K27" i="62" s="1"/>
  <c r="AB13" i="62"/>
  <c r="AB24" i="62" s="1"/>
  <c r="AB10" i="62"/>
  <c r="AB21" i="62" s="1"/>
  <c r="K23" i="62"/>
  <c r="L78" i="62"/>
  <c r="L90" i="62"/>
  <c r="L28" i="62"/>
  <c r="I23" i="11"/>
  <c r="K23" i="11" s="1"/>
  <c r="K26" i="11" s="1"/>
  <c r="L48" i="53"/>
  <c r="L25" i="41"/>
  <c r="L36" i="36"/>
  <c r="L36" i="37"/>
  <c r="L36" i="3"/>
  <c r="I27" i="12"/>
  <c r="K27" i="12" s="1"/>
  <c r="L27" i="12" s="1"/>
  <c r="Q6" i="4"/>
  <c r="R5" i="35"/>
  <c r="T5" i="35" s="1"/>
  <c r="V5" i="35" s="1"/>
  <c r="T3" i="35"/>
  <c r="V3" i="35" s="1"/>
  <c r="R6" i="35"/>
  <c r="R4" i="35"/>
  <c r="T4" i="35" s="1"/>
  <c r="V4" i="35" s="1"/>
  <c r="Q6" i="34"/>
  <c r="R4" i="4"/>
  <c r="T4" i="4" s="1"/>
  <c r="V4" i="4" s="1"/>
  <c r="R6" i="4"/>
  <c r="R5" i="4"/>
  <c r="T5" i="4" s="1"/>
  <c r="V5" i="4" s="1"/>
  <c r="T3" i="4"/>
  <c r="V3" i="4" s="1"/>
  <c r="I30" i="4" s="1"/>
  <c r="K30" i="4" s="1"/>
  <c r="L30" i="4" s="1"/>
  <c r="Q6" i="35"/>
  <c r="R4" i="34"/>
  <c r="T4" i="34" s="1"/>
  <c r="V4" i="34" s="1"/>
  <c r="R5" i="34"/>
  <c r="T5" i="34" s="1"/>
  <c r="V5" i="34" s="1"/>
  <c r="T3" i="34"/>
  <c r="V3" i="34" s="1"/>
  <c r="R6" i="34"/>
  <c r="L39" i="10"/>
  <c r="AM9" i="53"/>
  <c r="L39" i="41"/>
  <c r="AB20" i="53"/>
  <c r="AB14" i="53"/>
  <c r="AB12" i="53"/>
  <c r="AB10" i="53"/>
  <c r="AB21" i="53" s="1"/>
  <c r="AB11" i="53"/>
  <c r="AB22" i="53" s="1"/>
  <c r="AB13" i="53"/>
  <c r="AB24" i="53" s="1"/>
  <c r="AB20" i="12"/>
  <c r="AB12" i="12"/>
  <c r="AB23" i="12" s="1"/>
  <c r="AB14" i="12"/>
  <c r="AB25" i="12" s="1"/>
  <c r="AB11" i="12"/>
  <c r="AB22" i="12" s="1"/>
  <c r="AB13" i="12"/>
  <c r="AB24" i="12" s="1"/>
  <c r="AB10" i="12"/>
  <c r="AB21" i="12" s="1"/>
  <c r="AT14" i="41"/>
  <c r="AT9" i="41"/>
  <c r="AB25" i="41"/>
  <c r="AB20" i="41"/>
  <c r="AM14" i="41"/>
  <c r="AM9" i="41"/>
  <c r="K31" i="53"/>
  <c r="L31" i="53" s="1"/>
  <c r="K30" i="53"/>
  <c r="L30" i="53" s="1"/>
  <c r="K27" i="55"/>
  <c r="L27" i="55" s="1"/>
  <c r="L47" i="53"/>
  <c r="L37" i="53"/>
  <c r="K24" i="41"/>
  <c r="K51" i="44"/>
  <c r="L44" i="53"/>
  <c r="L45" i="53"/>
  <c r="L42" i="53"/>
  <c r="L49" i="53"/>
  <c r="L36" i="53"/>
  <c r="K39" i="53"/>
  <c r="L28" i="53"/>
  <c r="L26" i="41"/>
  <c r="L45" i="41"/>
  <c r="L49" i="41"/>
  <c r="L30" i="41"/>
  <c r="L50" i="41"/>
  <c r="L46" i="41"/>
  <c r="L29" i="41"/>
  <c r="K55" i="42"/>
  <c r="L51" i="53"/>
  <c r="K24" i="12"/>
  <c r="K55" i="15"/>
  <c r="K52" i="28"/>
  <c r="L38" i="41"/>
  <c r="L47" i="41"/>
  <c r="L51" i="41"/>
  <c r="L44" i="41"/>
  <c r="L53" i="41"/>
  <c r="R13" i="40"/>
  <c r="R11" i="40"/>
  <c r="T11" i="40" s="1"/>
  <c r="V11" i="40" s="1"/>
  <c r="T10" i="40"/>
  <c r="V10" i="40" s="1"/>
  <c r="R12" i="40"/>
  <c r="T12" i="40" s="1"/>
  <c r="V12" i="40" s="1"/>
  <c r="R13" i="10"/>
  <c r="R12" i="10"/>
  <c r="T12" i="10" s="1"/>
  <c r="V12" i="10" s="1"/>
  <c r="R11" i="10"/>
  <c r="T11" i="10" s="1"/>
  <c r="V11" i="10" s="1"/>
  <c r="T10" i="10"/>
  <c r="V10" i="10" s="1"/>
  <c r="T18" i="22"/>
  <c r="V18" i="22" s="1"/>
  <c r="R21" i="22"/>
  <c r="R19" i="22"/>
  <c r="T19" i="22" s="1"/>
  <c r="V19" i="22" s="1"/>
  <c r="R20" i="22"/>
  <c r="T20" i="22" s="1"/>
  <c r="V20" i="22" s="1"/>
  <c r="R6" i="39"/>
  <c r="T3" i="39"/>
  <c r="V3" i="39" s="1"/>
  <c r="R4" i="39"/>
  <c r="T4" i="39" s="1"/>
  <c r="V4" i="39" s="1"/>
  <c r="R5" i="39"/>
  <c r="R20" i="34"/>
  <c r="T20" i="34" s="1"/>
  <c r="V20" i="34" s="1"/>
  <c r="T18" i="34"/>
  <c r="V18" i="34" s="1"/>
  <c r="R19" i="34"/>
  <c r="T19" i="34" s="1"/>
  <c r="V19" i="34" s="1"/>
  <c r="R21" i="34"/>
  <c r="R19" i="28"/>
  <c r="T19" i="28" s="1"/>
  <c r="V19" i="28" s="1"/>
  <c r="T18" i="28"/>
  <c r="V18" i="28" s="1"/>
  <c r="R20" i="28"/>
  <c r="T20" i="28" s="1"/>
  <c r="V20" i="28" s="1"/>
  <c r="R21" i="28"/>
  <c r="T3" i="54"/>
  <c r="V3" i="54" s="1"/>
  <c r="R4" i="54"/>
  <c r="T4" i="54" s="1"/>
  <c r="V4" i="54" s="1"/>
  <c r="R5" i="54"/>
  <c r="T5" i="54" s="1"/>
  <c r="V5" i="54" s="1"/>
  <c r="R6" i="54"/>
  <c r="R6" i="3"/>
  <c r="T3" i="3"/>
  <c r="V3" i="3" s="1"/>
  <c r="I30" i="3" s="1"/>
  <c r="K30" i="3" s="1"/>
  <c r="R4" i="3"/>
  <c r="T4" i="3" s="1"/>
  <c r="V4" i="3" s="1"/>
  <c r="R5" i="3"/>
  <c r="T5" i="3" s="1"/>
  <c r="V5" i="3" s="1"/>
  <c r="T11" i="54"/>
  <c r="V11" i="54" s="1"/>
  <c r="R12" i="54"/>
  <c r="T12" i="54" s="1"/>
  <c r="V12" i="54" s="1"/>
  <c r="R13" i="54"/>
  <c r="T13" i="54" s="1"/>
  <c r="V13" i="54" s="1"/>
  <c r="R14" i="54"/>
  <c r="R12" i="3"/>
  <c r="T12" i="3" s="1"/>
  <c r="V12" i="3" s="1"/>
  <c r="R13" i="3"/>
  <c r="T13" i="3" s="1"/>
  <c r="V13" i="3" s="1"/>
  <c r="T11" i="3"/>
  <c r="V11" i="3" s="1"/>
  <c r="R14" i="3"/>
  <c r="R13" i="33"/>
  <c r="T13" i="33" s="1"/>
  <c r="V13" i="33" s="1"/>
  <c r="R12" i="33"/>
  <c r="T12" i="33" s="1"/>
  <c r="V12" i="33" s="1"/>
  <c r="R14" i="33"/>
  <c r="T11" i="33"/>
  <c r="V11" i="33" s="1"/>
  <c r="L34" i="28"/>
  <c r="K39" i="28"/>
  <c r="L42" i="44"/>
  <c r="L25" i="53"/>
  <c r="Y5" i="2"/>
  <c r="Y4" i="2"/>
  <c r="Y3" i="2"/>
  <c r="K24" i="40"/>
  <c r="L27" i="35"/>
  <c r="Q13" i="28"/>
  <c r="Q6" i="41"/>
  <c r="Q6" i="12"/>
  <c r="Q13" i="34"/>
  <c r="L46" i="53"/>
  <c r="L23" i="41"/>
  <c r="L28" i="41"/>
  <c r="AB13" i="41"/>
  <c r="AT13" i="41" s="1"/>
  <c r="AB10" i="41"/>
  <c r="AM10" i="41" s="1"/>
  <c r="AB11" i="41"/>
  <c r="AM11" i="41" s="1"/>
  <c r="AB12" i="41"/>
  <c r="AT12" i="41" s="1"/>
  <c r="Q14" i="53"/>
  <c r="Q21" i="4"/>
  <c r="Q21" i="34"/>
  <c r="Q6" i="53"/>
  <c r="Q14" i="12"/>
  <c r="L27" i="41"/>
  <c r="R12" i="12"/>
  <c r="T12" i="12" s="1"/>
  <c r="V12" i="12" s="1"/>
  <c r="T11" i="12"/>
  <c r="V11" i="12" s="1"/>
  <c r="R13" i="12"/>
  <c r="T13" i="12" s="1"/>
  <c r="V13" i="12" s="1"/>
  <c r="R14" i="12"/>
  <c r="T11" i="36"/>
  <c r="V11" i="36" s="1"/>
  <c r="R12" i="36"/>
  <c r="T12" i="36" s="1"/>
  <c r="V12" i="36" s="1"/>
  <c r="R13" i="36"/>
  <c r="T13" i="36" s="1"/>
  <c r="V13" i="36" s="1"/>
  <c r="R14" i="36"/>
  <c r="R13" i="28"/>
  <c r="R11" i="28"/>
  <c r="T11" i="28" s="1"/>
  <c r="V11" i="28" s="1"/>
  <c r="T10" i="28"/>
  <c r="V10" i="28" s="1"/>
  <c r="R12" i="28"/>
  <c r="T12" i="28" s="1"/>
  <c r="V12" i="28" s="1"/>
  <c r="R29" i="33"/>
  <c r="T29" i="33" s="1"/>
  <c r="V29" i="33" s="1"/>
  <c r="T28" i="33"/>
  <c r="V28" i="33" s="1"/>
  <c r="R30" i="33"/>
  <c r="T30" i="33" s="1"/>
  <c r="V30" i="33" s="1"/>
  <c r="R31" i="33"/>
  <c r="R6" i="40"/>
  <c r="T6" i="40" s="1"/>
  <c r="V6" i="40" s="1"/>
  <c r="R4" i="40"/>
  <c r="T4" i="40" s="1"/>
  <c r="V4" i="40" s="1"/>
  <c r="R5" i="40"/>
  <c r="T5" i="40" s="1"/>
  <c r="V5" i="40" s="1"/>
  <c r="T3" i="40"/>
  <c r="V3" i="40" s="1"/>
  <c r="R6" i="22"/>
  <c r="R5" i="22"/>
  <c r="T5" i="22" s="1"/>
  <c r="V5" i="22" s="1"/>
  <c r="T3" i="22"/>
  <c r="V3" i="22" s="1"/>
  <c r="R4" i="22"/>
  <c r="T4" i="22" s="1"/>
  <c r="V4" i="22" s="1"/>
  <c r="R13" i="4"/>
  <c r="T10" i="4"/>
  <c r="V10" i="4" s="1"/>
  <c r="R12" i="4"/>
  <c r="T12" i="4" s="1"/>
  <c r="V12" i="4" s="1"/>
  <c r="R11" i="4"/>
  <c r="T11" i="4" s="1"/>
  <c r="V11" i="4" s="1"/>
  <c r="T18" i="10"/>
  <c r="V18" i="10" s="1"/>
  <c r="R19" i="10"/>
  <c r="T19" i="10" s="1"/>
  <c r="V19" i="10" s="1"/>
  <c r="R20" i="10"/>
  <c r="T20" i="10" s="1"/>
  <c r="V20" i="10" s="1"/>
  <c r="R21" i="10"/>
  <c r="R20" i="35"/>
  <c r="T20" i="35" s="1"/>
  <c r="V20" i="35" s="1"/>
  <c r="R19" i="35"/>
  <c r="T19" i="35" s="1"/>
  <c r="V19" i="35" s="1"/>
  <c r="R21" i="35"/>
  <c r="T18" i="35"/>
  <c r="V18" i="35" s="1"/>
  <c r="R20" i="40"/>
  <c r="T20" i="40" s="1"/>
  <c r="V20" i="40" s="1"/>
  <c r="R19" i="40"/>
  <c r="T19" i="40" s="1"/>
  <c r="V19" i="40" s="1"/>
  <c r="R21" i="40"/>
  <c r="T18" i="40"/>
  <c r="V18" i="40" s="1"/>
  <c r="Q14" i="33"/>
  <c r="L54" i="41"/>
  <c r="L37" i="41"/>
  <c r="L51" i="34"/>
  <c r="K55" i="34"/>
  <c r="L47" i="22"/>
  <c r="K50" i="22"/>
  <c r="L22" i="41"/>
  <c r="Q6" i="22"/>
  <c r="L50" i="53"/>
  <c r="Y4" i="38"/>
  <c r="Y3" i="38"/>
  <c r="Y5" i="38"/>
  <c r="Q13" i="10"/>
  <c r="Q6" i="54"/>
  <c r="Q6" i="3"/>
  <c r="L22" i="42"/>
  <c r="K28" i="42"/>
  <c r="K32" i="53"/>
  <c r="L32" i="53" s="1"/>
  <c r="Q14" i="3"/>
  <c r="Q14" i="41"/>
  <c r="Q21" i="28"/>
  <c r="Q14" i="54"/>
  <c r="Y24" i="10"/>
  <c r="Y26" i="10"/>
  <c r="Y25" i="10"/>
  <c r="R13" i="38"/>
  <c r="T10" i="38"/>
  <c r="V10" i="38" s="1"/>
  <c r="R11" i="38"/>
  <c r="T11" i="38" s="1"/>
  <c r="V11" i="38" s="1"/>
  <c r="R12" i="38"/>
  <c r="T12" i="38" s="1"/>
  <c r="V12" i="38" s="1"/>
  <c r="R21" i="33"/>
  <c r="T21" i="33" s="1"/>
  <c r="V21" i="33" s="1"/>
  <c r="T20" i="33"/>
  <c r="V20" i="33" s="1"/>
  <c r="R22" i="33"/>
  <c r="T22" i="33" s="1"/>
  <c r="V22" i="33" s="1"/>
  <c r="R23" i="33"/>
  <c r="R13" i="37"/>
  <c r="T13" i="37" s="1"/>
  <c r="V13" i="37" s="1"/>
  <c r="R14" i="37"/>
  <c r="T11" i="37"/>
  <c r="V11" i="37" s="1"/>
  <c r="R12" i="37"/>
  <c r="T12" i="37" s="1"/>
  <c r="V12" i="37" s="1"/>
  <c r="R13" i="53"/>
  <c r="T13" i="53" s="1"/>
  <c r="V13" i="53" s="1"/>
  <c r="R14" i="53"/>
  <c r="T11" i="53"/>
  <c r="V11" i="53" s="1"/>
  <c r="R12" i="53"/>
  <c r="T12" i="53" s="1"/>
  <c r="V12" i="53" s="1"/>
  <c r="T18" i="38"/>
  <c r="V18" i="38" s="1"/>
  <c r="R19" i="38"/>
  <c r="T19" i="38" s="1"/>
  <c r="V19" i="38" s="1"/>
  <c r="R20" i="38"/>
  <c r="T20" i="38" s="1"/>
  <c r="V20" i="38" s="1"/>
  <c r="R21" i="38"/>
  <c r="R11" i="34"/>
  <c r="T11" i="34" s="1"/>
  <c r="V11" i="34" s="1"/>
  <c r="T10" i="34"/>
  <c r="V10" i="34" s="1"/>
  <c r="R12" i="34"/>
  <c r="T12" i="34" s="1"/>
  <c r="V12" i="34" s="1"/>
  <c r="R13" i="34"/>
  <c r="T3" i="41"/>
  <c r="V3" i="41" s="1"/>
  <c r="R5" i="41"/>
  <c r="T5" i="41" s="1"/>
  <c r="V5" i="41" s="1"/>
  <c r="R6" i="41"/>
  <c r="R4" i="41"/>
  <c r="T4" i="41" s="1"/>
  <c r="V4" i="41" s="1"/>
  <c r="L52" i="44"/>
  <c r="K55" i="44"/>
  <c r="L35" i="53"/>
  <c r="L52" i="53"/>
  <c r="L51" i="35"/>
  <c r="K55" i="35"/>
  <c r="K52" i="54"/>
  <c r="L48" i="54"/>
  <c r="L25" i="28"/>
  <c r="K29" i="28"/>
  <c r="K23" i="53"/>
  <c r="L22" i="53"/>
  <c r="L42" i="42"/>
  <c r="K51" i="42"/>
  <c r="L23" i="28"/>
  <c r="K24" i="28"/>
  <c r="Q5" i="39"/>
  <c r="Y5" i="39"/>
  <c r="Y4" i="39"/>
  <c r="Y3" i="39"/>
  <c r="Q13" i="22"/>
  <c r="Q13" i="39"/>
  <c r="Q13" i="38"/>
  <c r="Q13" i="40"/>
  <c r="L48" i="41"/>
  <c r="L55" i="41"/>
  <c r="Q31" i="33"/>
  <c r="Q21" i="10"/>
  <c r="Q21" i="22"/>
  <c r="Q21" i="38"/>
  <c r="R6" i="37"/>
  <c r="T3" i="37"/>
  <c r="V3" i="37" s="1"/>
  <c r="R4" i="37"/>
  <c r="T4" i="37" s="1"/>
  <c r="V4" i="37" s="1"/>
  <c r="R5" i="37"/>
  <c r="T5" i="37" s="1"/>
  <c r="V5" i="37" s="1"/>
  <c r="R13" i="39"/>
  <c r="R12" i="39"/>
  <c r="T12" i="39" s="1"/>
  <c r="V12" i="39" s="1"/>
  <c r="T10" i="39"/>
  <c r="V10" i="39" s="1"/>
  <c r="R11" i="39"/>
  <c r="T11" i="39" s="1"/>
  <c r="V11" i="39" s="1"/>
  <c r="R5" i="53"/>
  <c r="T5" i="53" s="1"/>
  <c r="V5" i="53" s="1"/>
  <c r="T3" i="53"/>
  <c r="V3" i="53" s="1"/>
  <c r="R4" i="53"/>
  <c r="T4" i="53" s="1"/>
  <c r="V4" i="53" s="1"/>
  <c r="R6" i="53"/>
  <c r="R6" i="38"/>
  <c r="T3" i="38"/>
  <c r="V3" i="38" s="1"/>
  <c r="R4" i="38"/>
  <c r="T4" i="38" s="1"/>
  <c r="V4" i="38" s="1"/>
  <c r="R5" i="38"/>
  <c r="R12" i="35"/>
  <c r="T12" i="35" s="1"/>
  <c r="V12" i="35" s="1"/>
  <c r="T10" i="35"/>
  <c r="V10" i="35" s="1"/>
  <c r="R13" i="35"/>
  <c r="R11" i="35"/>
  <c r="T11" i="35" s="1"/>
  <c r="V11" i="35" s="1"/>
  <c r="R6" i="28"/>
  <c r="T6" i="28" s="1"/>
  <c r="V6" i="28" s="1"/>
  <c r="T3" i="28"/>
  <c r="V3" i="28" s="1"/>
  <c r="R4" i="28"/>
  <c r="T4" i="28" s="1"/>
  <c r="V4" i="28" s="1"/>
  <c r="R5" i="28"/>
  <c r="T5" i="28" s="1"/>
  <c r="V5" i="28" s="1"/>
  <c r="R4" i="12"/>
  <c r="T4" i="12" s="1"/>
  <c r="V4" i="12" s="1"/>
  <c r="T3" i="12"/>
  <c r="V3" i="12" s="1"/>
  <c r="R5" i="12"/>
  <c r="T5" i="12" s="1"/>
  <c r="V5" i="12" s="1"/>
  <c r="R6" i="12"/>
  <c r="R21" i="39"/>
  <c r="T18" i="39"/>
  <c r="V18" i="39" s="1"/>
  <c r="R19" i="39"/>
  <c r="T19" i="39" s="1"/>
  <c r="V19" i="39" s="1"/>
  <c r="R20" i="39"/>
  <c r="T20" i="39" s="1"/>
  <c r="V20" i="39" s="1"/>
  <c r="R14" i="41"/>
  <c r="R12" i="41"/>
  <c r="T12" i="41" s="1"/>
  <c r="V12" i="41" s="1"/>
  <c r="R13" i="41"/>
  <c r="T13" i="41" s="1"/>
  <c r="V13" i="41" s="1"/>
  <c r="T11" i="41"/>
  <c r="V11" i="41" s="1"/>
  <c r="T3" i="36"/>
  <c r="V3" i="36" s="1"/>
  <c r="I30" i="36" s="1"/>
  <c r="K30" i="36" s="1"/>
  <c r="K34" i="36" s="1"/>
  <c r="R4" i="36"/>
  <c r="T4" i="36" s="1"/>
  <c r="V4" i="36" s="1"/>
  <c r="R5" i="36"/>
  <c r="T5" i="36" s="1"/>
  <c r="V5" i="36" s="1"/>
  <c r="R6" i="36"/>
  <c r="R20" i="4"/>
  <c r="T20" i="4" s="1"/>
  <c r="V20" i="4" s="1"/>
  <c r="R21" i="4"/>
  <c r="R19" i="4"/>
  <c r="T19" i="4" s="1"/>
  <c r="V19" i="4" s="1"/>
  <c r="T18" i="4"/>
  <c r="V18" i="4" s="1"/>
  <c r="I39" i="4" s="1"/>
  <c r="K39" i="4" s="1"/>
  <c r="K50" i="4" s="1"/>
  <c r="R13" i="22"/>
  <c r="T10" i="22"/>
  <c r="V10" i="22" s="1"/>
  <c r="K31" i="22" s="1"/>
  <c r="K46" i="22" s="1"/>
  <c r="R11" i="22"/>
  <c r="T11" i="22" s="1"/>
  <c r="V11" i="22" s="1"/>
  <c r="R12" i="22"/>
  <c r="T12" i="22" s="1"/>
  <c r="V12" i="22" s="1"/>
  <c r="L24" i="53"/>
  <c r="L30" i="28"/>
  <c r="K33" i="28"/>
  <c r="L51" i="4"/>
  <c r="K55" i="4"/>
  <c r="L51" i="22"/>
  <c r="K55" i="22"/>
  <c r="K41" i="42"/>
  <c r="L29" i="42"/>
  <c r="L29" i="44"/>
  <c r="K41" i="44"/>
  <c r="Q5" i="38"/>
  <c r="L52" i="41"/>
  <c r="Y5" i="40"/>
  <c r="Y3" i="40"/>
  <c r="Y4" i="40"/>
  <c r="Q6" i="37"/>
  <c r="Q13" i="4"/>
  <c r="Q23" i="33"/>
  <c r="Q13" i="35"/>
  <c r="Q6" i="36"/>
  <c r="L53" i="53"/>
  <c r="L22" i="44"/>
  <c r="K28" i="44"/>
  <c r="Q21" i="35"/>
  <c r="Q14" i="36"/>
  <c r="Q14" i="37"/>
  <c r="Q21" i="40"/>
  <c r="Q21" i="39"/>
  <c r="L26" i="53"/>
  <c r="L43" i="53"/>
  <c r="L37" i="54"/>
  <c r="K26" i="22"/>
  <c r="Y4" i="4"/>
  <c r="Y5" i="4"/>
  <c r="Y3" i="4"/>
  <c r="Y5" i="34"/>
  <c r="Y4" i="34"/>
  <c r="Y3" i="34"/>
  <c r="Y4" i="33"/>
  <c r="Y5" i="33"/>
  <c r="Y5" i="35"/>
  <c r="Y3" i="35"/>
  <c r="Y4" i="35"/>
  <c r="Y3" i="33"/>
  <c r="K24" i="33"/>
  <c r="L34" i="41"/>
  <c r="K36" i="38"/>
  <c r="K39" i="40"/>
  <c r="T28" i="11"/>
  <c r="V28" i="11" s="1"/>
  <c r="I27" i="11" s="1"/>
  <c r="K27" i="11" s="1"/>
  <c r="L27" i="11" s="1"/>
  <c r="R29" i="11"/>
  <c r="T29" i="11" s="1"/>
  <c r="V29" i="11" s="1"/>
  <c r="R30" i="11"/>
  <c r="T30" i="11" s="1"/>
  <c r="V30" i="11" s="1"/>
  <c r="R31" i="11"/>
  <c r="T31" i="11" s="1"/>
  <c r="V31" i="11" s="1"/>
  <c r="I65" i="6"/>
  <c r="K42" i="33"/>
  <c r="K38" i="10"/>
  <c r="K36" i="39"/>
  <c r="K25" i="10"/>
  <c r="K27" i="39"/>
  <c r="R20" i="2"/>
  <c r="T20" i="2" s="1"/>
  <c r="V20" i="2" s="1"/>
  <c r="R19" i="2"/>
  <c r="T19" i="2" s="1"/>
  <c r="V19" i="2" s="1"/>
  <c r="R21" i="2"/>
  <c r="T21" i="2" s="1"/>
  <c r="V21" i="2" s="1"/>
  <c r="T18" i="2"/>
  <c r="V18" i="2" s="1"/>
  <c r="K37" i="2" s="1"/>
  <c r="T6" i="33"/>
  <c r="V6" i="33" s="1"/>
  <c r="I35" i="33" s="1"/>
  <c r="K35" i="33" s="1"/>
  <c r="K30" i="37"/>
  <c r="K23" i="4"/>
  <c r="K27" i="38"/>
  <c r="K49" i="39"/>
  <c r="K47" i="10"/>
  <c r="K60" i="10" s="1"/>
  <c r="R5" i="10"/>
  <c r="T5" i="10" s="1"/>
  <c r="V5" i="10" s="1"/>
  <c r="R6" i="10"/>
  <c r="T6" i="10" s="1"/>
  <c r="V6" i="10" s="1"/>
  <c r="K40" i="10" s="1"/>
  <c r="R4" i="10"/>
  <c r="T4" i="10" s="1"/>
  <c r="V4" i="10" s="1"/>
  <c r="T3" i="10"/>
  <c r="V3" i="10" s="1"/>
  <c r="L32" i="41"/>
  <c r="L33" i="41"/>
  <c r="K41" i="15"/>
  <c r="T5" i="33"/>
  <c r="V5" i="33" s="1"/>
  <c r="K35" i="3"/>
  <c r="K47" i="3" s="1"/>
  <c r="K39" i="33"/>
  <c r="L39" i="33" s="1"/>
  <c r="K31" i="12"/>
  <c r="L31" i="12" s="1"/>
  <c r="K43" i="10"/>
  <c r="R29" i="10"/>
  <c r="T29" i="10" s="1"/>
  <c r="V29" i="10" s="1"/>
  <c r="T26" i="10"/>
  <c r="V26" i="10" s="1"/>
  <c r="R27" i="10"/>
  <c r="T27" i="10" s="1"/>
  <c r="V27" i="10" s="1"/>
  <c r="R28" i="10"/>
  <c r="T28" i="10" s="1"/>
  <c r="V28" i="10" s="1"/>
  <c r="K33" i="40"/>
  <c r="K41" i="41"/>
  <c r="R5" i="2"/>
  <c r="T5" i="2" s="1"/>
  <c r="V5" i="2" s="1"/>
  <c r="T3" i="2"/>
  <c r="V3" i="2" s="1"/>
  <c r="I33" i="2" s="1"/>
  <c r="K33" i="2" s="1"/>
  <c r="R4" i="2"/>
  <c r="T4" i="2" s="1"/>
  <c r="V4" i="2" s="1"/>
  <c r="R6" i="2"/>
  <c r="T6" i="2" s="1"/>
  <c r="V6" i="2" s="1"/>
  <c r="R12" i="2"/>
  <c r="T12" i="2" s="1"/>
  <c r="V12" i="2" s="1"/>
  <c r="R11" i="2"/>
  <c r="T11" i="2" s="1"/>
  <c r="V11" i="2" s="1"/>
  <c r="T10" i="2"/>
  <c r="V10" i="2" s="1"/>
  <c r="R13" i="2"/>
  <c r="T13" i="2" s="1"/>
  <c r="V13" i="2" s="1"/>
  <c r="K52" i="40"/>
  <c r="T4" i="33"/>
  <c r="V4" i="33" s="1"/>
  <c r="K27" i="2"/>
  <c r="K35" i="36"/>
  <c r="K47" i="36" s="1"/>
  <c r="K29" i="40"/>
  <c r="K49" i="38"/>
  <c r="AB25" i="62" l="1"/>
  <c r="K35" i="62"/>
  <c r="L35" i="62" s="1"/>
  <c r="I80" i="62"/>
  <c r="K80" i="62" s="1"/>
  <c r="K93" i="62" s="1"/>
  <c r="I33" i="62"/>
  <c r="K33" i="62" s="1"/>
  <c r="K31" i="62"/>
  <c r="T19" i="62"/>
  <c r="V19" i="62" s="1"/>
  <c r="T30" i="62"/>
  <c r="V30" i="62" s="1"/>
  <c r="K31" i="11"/>
  <c r="K37" i="11" s="1"/>
  <c r="L22" i="11" s="1"/>
  <c r="K38" i="4"/>
  <c r="K57" i="4" s="1"/>
  <c r="L39" i="4" s="1"/>
  <c r="T6" i="35"/>
  <c r="V6" i="35" s="1"/>
  <c r="T6" i="34"/>
  <c r="V6" i="34" s="1"/>
  <c r="T6" i="4"/>
  <c r="V6" i="4" s="1"/>
  <c r="K46" i="10"/>
  <c r="K66" i="10" s="1"/>
  <c r="AM10" i="53"/>
  <c r="AT10" i="53"/>
  <c r="AB23" i="53"/>
  <c r="AT12" i="53"/>
  <c r="AM12" i="53"/>
  <c r="AT13" i="53"/>
  <c r="AM13" i="53"/>
  <c r="AT14" i="53"/>
  <c r="AM14" i="53"/>
  <c r="AT11" i="53"/>
  <c r="AM11" i="53"/>
  <c r="AB25" i="53"/>
  <c r="T6" i="3"/>
  <c r="V6" i="3" s="1"/>
  <c r="AM13" i="41"/>
  <c r="AB24" i="41"/>
  <c r="AB21" i="41"/>
  <c r="AT11" i="41"/>
  <c r="AM12" i="41"/>
  <c r="AB23" i="41"/>
  <c r="AB22" i="41"/>
  <c r="AT10" i="41"/>
  <c r="K28" i="55"/>
  <c r="K34" i="55" s="1"/>
  <c r="J62" i="6" s="1"/>
  <c r="T14" i="36"/>
  <c r="V14" i="36" s="1"/>
  <c r="K34" i="53"/>
  <c r="T21" i="39"/>
  <c r="V21" i="39" s="1"/>
  <c r="T21" i="10"/>
  <c r="V21" i="10" s="1"/>
  <c r="T13" i="10"/>
  <c r="V13" i="10" s="1"/>
  <c r="T13" i="40"/>
  <c r="V13" i="40" s="1"/>
  <c r="T21" i="28"/>
  <c r="V21" i="28" s="1"/>
  <c r="T21" i="35"/>
  <c r="V21" i="35" s="1"/>
  <c r="K39" i="35" s="1"/>
  <c r="K50" i="35" s="1"/>
  <c r="T31" i="33"/>
  <c r="V31" i="33" s="1"/>
  <c r="T14" i="33"/>
  <c r="V14" i="33" s="1"/>
  <c r="T6" i="37"/>
  <c r="V6" i="37" s="1"/>
  <c r="T21" i="22"/>
  <c r="V21" i="22" s="1"/>
  <c r="T21" i="40"/>
  <c r="V21" i="40" s="1"/>
  <c r="T21" i="34"/>
  <c r="V21" i="34" s="1"/>
  <c r="K39" i="34" s="1"/>
  <c r="K50" i="34" s="1"/>
  <c r="T13" i="4"/>
  <c r="V13" i="4" s="1"/>
  <c r="T21" i="38"/>
  <c r="V21" i="38" s="1"/>
  <c r="T14" i="3"/>
  <c r="V14" i="3" s="1"/>
  <c r="T23" i="33"/>
  <c r="V23" i="33" s="1"/>
  <c r="T14" i="54"/>
  <c r="V14" i="54" s="1"/>
  <c r="K36" i="54" s="1"/>
  <c r="K47" i="54" s="1"/>
  <c r="T6" i="54"/>
  <c r="V6" i="54" s="1"/>
  <c r="K30" i="54" s="1"/>
  <c r="K35" i="54" s="1"/>
  <c r="T13" i="35"/>
  <c r="V13" i="35" s="1"/>
  <c r="K31" i="35" s="1"/>
  <c r="K38" i="35" s="1"/>
  <c r="T14" i="37"/>
  <c r="V14" i="37" s="1"/>
  <c r="I35" i="37" s="1"/>
  <c r="K35" i="37" s="1"/>
  <c r="K47" i="37" s="1"/>
  <c r="T13" i="39"/>
  <c r="V13" i="39" s="1"/>
  <c r="T6" i="36"/>
  <c r="V6" i="36" s="1"/>
  <c r="T14" i="12"/>
  <c r="V14" i="12" s="1"/>
  <c r="K39" i="12" s="1"/>
  <c r="T13" i="38"/>
  <c r="V13" i="38" s="1"/>
  <c r="T6" i="22"/>
  <c r="V6" i="22" s="1"/>
  <c r="T14" i="53"/>
  <c r="V14" i="53" s="1"/>
  <c r="K41" i="53" s="1"/>
  <c r="T6" i="12"/>
  <c r="V6" i="12" s="1"/>
  <c r="K37" i="12" s="1"/>
  <c r="Q6" i="38"/>
  <c r="T6" i="38" s="1"/>
  <c r="V6" i="38" s="1"/>
  <c r="T5" i="38"/>
  <c r="V5" i="38" s="1"/>
  <c r="T13" i="22"/>
  <c r="V13" i="22" s="1"/>
  <c r="T21" i="4"/>
  <c r="V21" i="4" s="1"/>
  <c r="T13" i="28"/>
  <c r="V13" i="28" s="1"/>
  <c r="Q6" i="39"/>
  <c r="T6" i="39" s="1"/>
  <c r="V6" i="39" s="1"/>
  <c r="T5" i="39"/>
  <c r="V5" i="39" s="1"/>
  <c r="T14" i="41"/>
  <c r="V14" i="41" s="1"/>
  <c r="K43" i="41" s="1"/>
  <c r="T6" i="53"/>
  <c r="V6" i="53" s="1"/>
  <c r="K40" i="53" s="1"/>
  <c r="T13" i="34"/>
  <c r="V13" i="34" s="1"/>
  <c r="K31" i="34" s="1"/>
  <c r="K38" i="34" s="1"/>
  <c r="T6" i="41"/>
  <c r="V6" i="41" s="1"/>
  <c r="K42" i="41" s="1"/>
  <c r="K61" i="22"/>
  <c r="K55" i="38"/>
  <c r="L37" i="38" s="1"/>
  <c r="K53" i="36"/>
  <c r="I45" i="6" s="1"/>
  <c r="K34" i="37"/>
  <c r="I36" i="33"/>
  <c r="K36" i="33" s="1"/>
  <c r="K38" i="33" s="1"/>
  <c r="K57" i="42"/>
  <c r="I59" i="6" s="1"/>
  <c r="K36" i="41"/>
  <c r="K53" i="33"/>
  <c r="K57" i="44"/>
  <c r="K55" i="39"/>
  <c r="L22" i="39" s="1"/>
  <c r="K36" i="12"/>
  <c r="K36" i="2"/>
  <c r="K34" i="3"/>
  <c r="K49" i="2"/>
  <c r="K58" i="40"/>
  <c r="K58" i="28"/>
  <c r="L33" i="62" l="1"/>
  <c r="K37" i="62"/>
  <c r="K99" i="62" s="1"/>
  <c r="J39" i="6" s="1"/>
  <c r="L34" i="22"/>
  <c r="M2" i="22"/>
  <c r="L35" i="36"/>
  <c r="M2" i="36"/>
  <c r="K52" i="12"/>
  <c r="K58" i="12" s="1"/>
  <c r="M2" i="55"/>
  <c r="K57" i="34"/>
  <c r="L53" i="34" s="1"/>
  <c r="K57" i="35"/>
  <c r="L53" i="35" s="1"/>
  <c r="K54" i="54"/>
  <c r="L22" i="54" s="1"/>
  <c r="L31" i="22"/>
  <c r="J61" i="6"/>
  <c r="K57" i="41"/>
  <c r="K63" i="41" s="1"/>
  <c r="K55" i="53"/>
  <c r="K61" i="53" s="1"/>
  <c r="L52" i="38"/>
  <c r="I60" i="6"/>
  <c r="L54" i="44"/>
  <c r="L53" i="44"/>
  <c r="L45" i="44"/>
  <c r="L45" i="42"/>
  <c r="L53" i="42"/>
  <c r="L54" i="42"/>
  <c r="L51" i="38"/>
  <c r="L34" i="38"/>
  <c r="L33" i="38"/>
  <c r="L25" i="11"/>
  <c r="M2" i="11"/>
  <c r="L32" i="11"/>
  <c r="J54" i="6"/>
  <c r="L34" i="11"/>
  <c r="L23" i="11"/>
  <c r="L33" i="11"/>
  <c r="M2" i="38"/>
  <c r="L50" i="38"/>
  <c r="L28" i="38"/>
  <c r="I49" i="6"/>
  <c r="L22" i="38"/>
  <c r="L29" i="38"/>
  <c r="K53" i="37"/>
  <c r="I46" i="6" s="1"/>
  <c r="L30" i="36"/>
  <c r="L48" i="36"/>
  <c r="L49" i="36"/>
  <c r="L25" i="36"/>
  <c r="L24" i="36"/>
  <c r="L50" i="36"/>
  <c r="L53" i="4"/>
  <c r="L24" i="4"/>
  <c r="L54" i="4"/>
  <c r="L52" i="4"/>
  <c r="L22" i="4"/>
  <c r="L31" i="4"/>
  <c r="M2" i="4"/>
  <c r="M2" i="44"/>
  <c r="L25" i="4"/>
  <c r="I41" i="6"/>
  <c r="K59" i="33"/>
  <c r="L25" i="33" s="1"/>
  <c r="M2" i="42"/>
  <c r="L34" i="39"/>
  <c r="L28" i="39"/>
  <c r="L29" i="39"/>
  <c r="I50" i="6"/>
  <c r="L37" i="39"/>
  <c r="L50" i="39"/>
  <c r="L33" i="39"/>
  <c r="L52" i="39"/>
  <c r="L51" i="39"/>
  <c r="M2" i="39"/>
  <c r="K55" i="2"/>
  <c r="K53" i="3"/>
  <c r="L35" i="3" s="1"/>
  <c r="L53" i="28"/>
  <c r="L36" i="28"/>
  <c r="L55" i="28"/>
  <c r="L28" i="28"/>
  <c r="L41" i="28"/>
  <c r="L40" i="28"/>
  <c r="L51" i="28"/>
  <c r="L37" i="28"/>
  <c r="I51" i="6"/>
  <c r="M2" i="28"/>
  <c r="L54" i="28"/>
  <c r="L53" i="40"/>
  <c r="L37" i="40"/>
  <c r="L28" i="40"/>
  <c r="L54" i="40"/>
  <c r="I52" i="6"/>
  <c r="L41" i="40"/>
  <c r="L51" i="40"/>
  <c r="M2" i="40"/>
  <c r="L36" i="40"/>
  <c r="L55" i="40"/>
  <c r="L40" i="40"/>
  <c r="M2" i="62" l="1"/>
  <c r="L26" i="62"/>
  <c r="L22" i="62"/>
  <c r="L27" i="62"/>
  <c r="L80" i="62"/>
  <c r="L35" i="37"/>
  <c r="M2" i="37"/>
  <c r="L22" i="34"/>
  <c r="I42" i="6"/>
  <c r="L31" i="34"/>
  <c r="L24" i="34"/>
  <c r="M2" i="34"/>
  <c r="L25" i="34"/>
  <c r="L40" i="34"/>
  <c r="L54" i="34"/>
  <c r="L39" i="34"/>
  <c r="L52" i="34"/>
  <c r="L22" i="35"/>
  <c r="L52" i="35"/>
  <c r="L39" i="35"/>
  <c r="L54" i="35"/>
  <c r="L49" i="54"/>
  <c r="L31" i="35"/>
  <c r="I43" i="6"/>
  <c r="L40" i="35"/>
  <c r="L50" i="54"/>
  <c r="M2" i="35"/>
  <c r="L24" i="35"/>
  <c r="L25" i="35"/>
  <c r="L30" i="54"/>
  <c r="L25" i="54"/>
  <c r="L51" i="54"/>
  <c r="M2" i="54"/>
  <c r="J57" i="6"/>
  <c r="K57" i="6" s="1"/>
  <c r="L36" i="54"/>
  <c r="L24" i="54"/>
  <c r="L42" i="41"/>
  <c r="L35" i="41"/>
  <c r="J56" i="6"/>
  <c r="L43" i="41"/>
  <c r="L60" i="41"/>
  <c r="L59" i="41"/>
  <c r="L56" i="41"/>
  <c r="L58" i="41"/>
  <c r="M2" i="41"/>
  <c r="L56" i="53"/>
  <c r="L40" i="53"/>
  <c r="L33" i="53"/>
  <c r="L57" i="53"/>
  <c r="J53" i="6"/>
  <c r="L54" i="53"/>
  <c r="L58" i="53"/>
  <c r="M2" i="53"/>
  <c r="L41" i="53"/>
  <c r="L37" i="2"/>
  <c r="L40" i="33"/>
  <c r="L52" i="2"/>
  <c r="L25" i="37"/>
  <c r="L49" i="37"/>
  <c r="L30" i="37"/>
  <c r="L24" i="37"/>
  <c r="L48" i="37"/>
  <c r="L50" i="37"/>
  <c r="L47" i="10"/>
  <c r="L41" i="10"/>
  <c r="L23" i="33"/>
  <c r="L35" i="33"/>
  <c r="L43" i="33"/>
  <c r="L45" i="33"/>
  <c r="L47" i="33"/>
  <c r="L49" i="33"/>
  <c r="L44" i="33"/>
  <c r="L46" i="33"/>
  <c r="L48" i="33"/>
  <c r="L43" i="10"/>
  <c r="L26" i="33"/>
  <c r="L34" i="33"/>
  <c r="L42" i="33"/>
  <c r="L31" i="33"/>
  <c r="L37" i="33"/>
  <c r="L50" i="33"/>
  <c r="L36" i="33"/>
  <c r="L52" i="33"/>
  <c r="M2" i="33"/>
  <c r="J40" i="6"/>
  <c r="L27" i="33"/>
  <c r="L32" i="33"/>
  <c r="L51" i="33"/>
  <c r="M2" i="10"/>
  <c r="L63" i="10"/>
  <c r="L37" i="10"/>
  <c r="L62" i="10"/>
  <c r="L36" i="10"/>
  <c r="J47" i="6"/>
  <c r="L40" i="10"/>
  <c r="L61" i="10"/>
  <c r="I48" i="6"/>
  <c r="J50" i="6" s="1"/>
  <c r="L50" i="2"/>
  <c r="L33" i="2"/>
  <c r="L29" i="2"/>
  <c r="L28" i="2"/>
  <c r="L34" i="2"/>
  <c r="M2" i="2"/>
  <c r="L51" i="2"/>
  <c r="L59" i="10"/>
  <c r="J52" i="6"/>
  <c r="K52" i="6" s="1"/>
  <c r="M2" i="3"/>
  <c r="L22" i="2"/>
  <c r="L49" i="3"/>
  <c r="L25" i="3"/>
  <c r="L48" i="3"/>
  <c r="L50" i="3"/>
  <c r="L30" i="3"/>
  <c r="I44" i="6"/>
  <c r="J46" i="6" s="1"/>
  <c r="L24" i="3"/>
  <c r="L51" i="12"/>
  <c r="L53" i="12"/>
  <c r="L39" i="12"/>
  <c r="M2" i="12"/>
  <c r="J55" i="6"/>
  <c r="L55" i="12"/>
  <c r="L54" i="12"/>
  <c r="L37" i="12"/>
  <c r="J43" i="6" l="1"/>
  <c r="K50" i="6" l="1"/>
  <c r="K28" i="15" l="1"/>
  <c r="K51" i="15"/>
  <c r="K57" i="15" l="1"/>
  <c r="I58" i="6" s="1"/>
  <c r="J60" i="6" s="1"/>
  <c r="J63" i="6" l="1"/>
  <c r="L53" i="15"/>
  <c r="L54" i="15"/>
  <c r="M2" i="15"/>
  <c r="L45" i="15"/>
  <c r="I13" i="9" l="1"/>
  <c r="I20" i="9" s="1"/>
  <c r="I67" i="6" s="1"/>
  <c r="I23" i="9" l="1"/>
  <c r="I70" i="6" s="1"/>
  <c r="I19" i="9"/>
  <c r="I66" i="6" s="1"/>
  <c r="I21" i="9"/>
  <c r="I68" i="6" s="1"/>
  <c r="I22" i="9"/>
  <c r="I69" i="6" s="1"/>
  <c r="J71" i="6" l="1"/>
  <c r="I24" i="9"/>
  <c r="I26" i="9" s="1"/>
  <c r="J23" i="9" s="1"/>
  <c r="K70" i="6"/>
  <c r="J73" i="6" l="1"/>
  <c r="K60" i="6" s="1"/>
  <c r="K46" i="6"/>
  <c r="K56" i="6"/>
  <c r="K40" i="6"/>
  <c r="K53" i="6"/>
  <c r="J19" i="9"/>
  <c r="J18" i="9"/>
  <c r="J20" i="9"/>
  <c r="J22" i="9"/>
  <c r="K7" i="9"/>
  <c r="J21" i="9"/>
  <c r="K39" i="6" l="1"/>
  <c r="K55" i="6"/>
  <c r="M3" i="62"/>
  <c r="M4" i="62" s="1"/>
  <c r="K54" i="6"/>
  <c r="K47" i="6"/>
  <c r="M3" i="37"/>
  <c r="M4" i="37" s="1"/>
  <c r="I10" i="58"/>
  <c r="I12" i="58" s="1"/>
  <c r="M3" i="38"/>
  <c r="M4" i="38" s="1"/>
  <c r="M3" i="4"/>
  <c r="M4" i="4" s="1"/>
  <c r="M3" i="36"/>
  <c r="M4" i="36" s="1"/>
  <c r="M3" i="34"/>
  <c r="M4" i="34" s="1"/>
  <c r="M3" i="22"/>
  <c r="M4" i="22" s="1"/>
  <c r="M3" i="40"/>
  <c r="M4" i="40" s="1"/>
  <c r="M3" i="10"/>
  <c r="M4" i="10" s="1"/>
  <c r="M3" i="28"/>
  <c r="M4" i="28" s="1"/>
  <c r="M3" i="12"/>
  <c r="M4" i="12" s="1"/>
  <c r="M3" i="2"/>
  <c r="M4" i="2" s="1"/>
  <c r="K71" i="6"/>
  <c r="K62" i="6"/>
  <c r="K43" i="6"/>
  <c r="K61" i="6"/>
  <c r="K63" i="6"/>
  <c r="M3" i="44"/>
  <c r="M4" i="44" s="1"/>
  <c r="M3" i="39"/>
  <c r="M4" i="39" s="1"/>
  <c r="M3" i="53"/>
  <c r="M4" i="53" s="1"/>
  <c r="K8" i="9"/>
  <c r="K9" i="9" s="1"/>
  <c r="M3" i="54"/>
  <c r="M4" i="54" s="1"/>
  <c r="M3" i="15"/>
  <c r="M4" i="15" s="1"/>
  <c r="M3" i="35"/>
  <c r="M4" i="35" s="1"/>
  <c r="M3" i="11"/>
  <c r="M4" i="11" s="1"/>
  <c r="M3" i="41"/>
  <c r="M4" i="41" s="1"/>
  <c r="M3" i="3"/>
  <c r="M4" i="3" s="1"/>
  <c r="M3" i="33"/>
  <c r="M4" i="33" s="1"/>
  <c r="M3" i="42"/>
  <c r="M4" i="42" s="1"/>
  <c r="M3" i="55"/>
  <c r="M4" i="55" s="1"/>
  <c r="J75" i="6"/>
  <c r="K7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Tony Ward</author>
  </authors>
  <commentList>
    <comment ref="I15" authorId="0" shapeId="0" xr:uid="{00000000-0006-0000-0400-000001000000}">
      <text>
        <r>
          <rPr>
            <b/>
            <sz val="9"/>
            <color indexed="81"/>
            <rFont val="Tahoma"/>
            <family val="2"/>
          </rPr>
          <t>For Tasks Assume cost breakdown of:
50% labour
20% plant
30% materials</t>
        </r>
        <r>
          <rPr>
            <sz val="9"/>
            <color indexed="81"/>
            <rFont val="Tahoma"/>
            <family val="2"/>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Tony Ward</author>
  </authors>
  <commentList>
    <comment ref="M21" authorId="0" shapeId="0" xr:uid="{00000000-0006-0000-0D00-000001000000}">
      <text>
        <r>
          <rPr>
            <b/>
            <sz val="9"/>
            <color indexed="81"/>
            <rFont val="Tahoma"/>
            <family val="2"/>
          </rPr>
          <t>A general comment on the intent of this activity which by its nature provides a general guidance rather to the use of this activity.</t>
        </r>
        <r>
          <rPr>
            <sz val="9"/>
            <color indexed="81"/>
            <rFont val="Tahoma"/>
            <family val="2"/>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Tony Ward</author>
  </authors>
  <commentList>
    <comment ref="M21" authorId="0" shapeId="0" xr:uid="{00000000-0006-0000-0E00-000001000000}">
      <text>
        <r>
          <rPr>
            <b/>
            <sz val="9"/>
            <color indexed="81"/>
            <rFont val="Tahoma"/>
            <family val="2"/>
          </rPr>
          <t>A general comment on the intent of this activity which by its nature provides a general guidance rather to the use of this activity.</t>
        </r>
        <r>
          <rPr>
            <sz val="9"/>
            <color indexed="81"/>
            <rFont val="Tahoma"/>
            <family val="2"/>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Tony Ward</author>
  </authors>
  <commentList>
    <comment ref="M21" authorId="0" shapeId="0" xr:uid="{00000000-0006-0000-0F00-000001000000}">
      <text>
        <r>
          <rPr>
            <b/>
            <sz val="9"/>
            <color indexed="81"/>
            <rFont val="Tahoma"/>
            <family val="2"/>
          </rPr>
          <t>A general comment on the intent of this activity which by its nature provides a general guidance rather to the use of this activity.</t>
        </r>
        <r>
          <rPr>
            <sz val="9"/>
            <color indexed="81"/>
            <rFont val="Tahoma"/>
            <family val="2"/>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Tony Ward</author>
  </authors>
  <commentList>
    <comment ref="M21" authorId="0" shapeId="0" xr:uid="{00000000-0006-0000-1000-000001000000}">
      <text>
        <r>
          <rPr>
            <b/>
            <sz val="9"/>
            <color indexed="81"/>
            <rFont val="Tahoma"/>
            <family val="2"/>
          </rPr>
          <t>A general comment on the intent of this activity which by its nature provides a general guidance rather to the use of this activity.</t>
        </r>
        <r>
          <rPr>
            <sz val="9"/>
            <color indexed="81"/>
            <rFont val="Tahoma"/>
            <family val="2"/>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Tony Ward</author>
  </authors>
  <commentList>
    <comment ref="M21" authorId="0" shapeId="0" xr:uid="{00000000-0006-0000-1100-000001000000}">
      <text>
        <r>
          <rPr>
            <b/>
            <sz val="9"/>
            <color indexed="81"/>
            <rFont val="Tahoma"/>
            <family val="2"/>
          </rPr>
          <t>A general comment on the intent of this activity which by its nature provides a general guidance rather to the use of this activity.</t>
        </r>
        <r>
          <rPr>
            <sz val="9"/>
            <color indexed="81"/>
            <rFont val="Tahoma"/>
            <family val="2"/>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Tony Ward</author>
  </authors>
  <commentList>
    <comment ref="M21" authorId="0" shapeId="0" xr:uid="{00000000-0006-0000-1200-000001000000}">
      <text>
        <r>
          <rPr>
            <b/>
            <sz val="9"/>
            <color indexed="81"/>
            <rFont val="Tahoma"/>
            <family val="2"/>
          </rPr>
          <t>A general comment on the intent of this activity which by its nature provides a general guidance rather to the use of this activity.</t>
        </r>
        <r>
          <rPr>
            <sz val="9"/>
            <color indexed="81"/>
            <rFont val="Tahoma"/>
            <family val="2"/>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Tony Ward</author>
  </authors>
  <commentList>
    <comment ref="M21" authorId="0" shapeId="0" xr:uid="{00000000-0006-0000-1300-000001000000}">
      <text>
        <r>
          <rPr>
            <b/>
            <sz val="9"/>
            <color indexed="81"/>
            <rFont val="Tahoma"/>
            <family val="2"/>
          </rPr>
          <t>A general comment on the intent of this activity which by its nature provides a general guidance rather to the use of this activity.</t>
        </r>
        <r>
          <rPr>
            <sz val="9"/>
            <color indexed="81"/>
            <rFont val="Tahoma"/>
            <family val="2"/>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Tony Ward</author>
  </authors>
  <commentList>
    <comment ref="M21" authorId="0" shapeId="0" xr:uid="{00000000-0006-0000-1400-000001000000}">
      <text>
        <r>
          <rPr>
            <b/>
            <sz val="9"/>
            <color indexed="81"/>
            <rFont val="Tahoma"/>
            <family val="2"/>
          </rPr>
          <t>A general comment on the intent of this activity which by its nature provides a general guidance rather to the use of this activity.</t>
        </r>
        <r>
          <rPr>
            <sz val="9"/>
            <color indexed="81"/>
            <rFont val="Tahoma"/>
            <family val="2"/>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Tony Ward</author>
  </authors>
  <commentList>
    <comment ref="M21" authorId="0" shapeId="0" xr:uid="{00000000-0006-0000-1500-000001000000}">
      <text>
        <r>
          <rPr>
            <b/>
            <sz val="9"/>
            <color indexed="81"/>
            <rFont val="Tahoma"/>
            <family val="2"/>
          </rPr>
          <t>A general comment on the intent of this activity which by its nature provides a general guidance rather to the use of this activity.</t>
        </r>
        <r>
          <rPr>
            <sz val="9"/>
            <color indexed="81"/>
            <rFont val="Tahoma"/>
            <family val="2"/>
          </rPr>
          <t xml:space="preserve">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Tony Ward</author>
  </authors>
  <commentList>
    <comment ref="M21" authorId="0" shapeId="0" xr:uid="{00000000-0006-0000-1600-000001000000}">
      <text>
        <r>
          <rPr>
            <b/>
            <sz val="9"/>
            <color indexed="81"/>
            <rFont val="Tahoma"/>
            <family val="2"/>
          </rPr>
          <t>A general comment on the intent of this activity which by its nature provides a general guidance rather to the use of this activity.</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Peter White</author>
  </authors>
  <commentList>
    <comment ref="C97" authorId="0" shapeId="0" xr:uid="{00000000-0006-0000-0500-000001000000}">
      <text>
        <r>
          <rPr>
            <b/>
            <sz val="9"/>
            <color indexed="81"/>
            <rFont val="Tahoma"/>
            <family val="2"/>
          </rPr>
          <t>Peter White:</t>
        </r>
        <r>
          <rPr>
            <sz val="9"/>
            <color indexed="81"/>
            <rFont val="Tahoma"/>
            <family val="2"/>
          </rPr>
          <t xml:space="preserve">
Number of loads and kms</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Tony Ward</author>
  </authors>
  <commentList>
    <comment ref="M21" authorId="0" shapeId="0" xr:uid="{00000000-0006-0000-1700-000001000000}">
      <text>
        <r>
          <rPr>
            <b/>
            <sz val="9"/>
            <color indexed="81"/>
            <rFont val="Tahoma"/>
            <family val="2"/>
          </rPr>
          <t>A general comment on the intent of this activity which by its nature provides a general guidance rather to the use of this activity.</t>
        </r>
        <r>
          <rPr>
            <sz val="9"/>
            <color indexed="81"/>
            <rFont val="Tahoma"/>
            <family val="2"/>
          </rPr>
          <t xml:space="preserve">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Tony Ward</author>
  </authors>
  <commentList>
    <comment ref="M21" authorId="0" shapeId="0" xr:uid="{00000000-0006-0000-1800-000001000000}">
      <text>
        <r>
          <rPr>
            <b/>
            <sz val="9"/>
            <color indexed="81"/>
            <rFont val="Tahoma"/>
            <family val="2"/>
          </rPr>
          <t>A general comment on the intent of this activity which by its nature provides a general guidance rather to the use of this activity.</t>
        </r>
        <r>
          <rPr>
            <sz val="9"/>
            <color indexed="81"/>
            <rFont val="Tahoma"/>
            <family val="2"/>
          </rPr>
          <t xml:space="preserve">
</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Tony Ward</author>
  </authors>
  <commentList>
    <comment ref="M21" authorId="0" shapeId="0" xr:uid="{00000000-0006-0000-1900-000001000000}">
      <text>
        <r>
          <rPr>
            <b/>
            <sz val="9"/>
            <color indexed="81"/>
            <rFont val="Tahoma"/>
            <family val="2"/>
          </rPr>
          <t>A general comment on the intent of this activity which by its nature provides a general guidance rather to the use of this activity.</t>
        </r>
        <r>
          <rPr>
            <sz val="9"/>
            <color indexed="81"/>
            <rFont val="Tahoma"/>
            <family val="2"/>
          </rPr>
          <t xml:space="preserve">
</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Tony Ward</author>
  </authors>
  <commentList>
    <comment ref="M21" authorId="0" shapeId="0" xr:uid="{00000000-0006-0000-1A00-000001000000}">
      <text>
        <r>
          <rPr>
            <b/>
            <sz val="9"/>
            <color indexed="81"/>
            <rFont val="Tahoma"/>
            <family val="2"/>
          </rPr>
          <t>A general comment on the intent of this activity which by its nature provides a general guidance rather to the use of this activity.</t>
        </r>
        <r>
          <rPr>
            <sz val="9"/>
            <color indexed="81"/>
            <rFont val="Tahoma"/>
            <family val="2"/>
          </rPr>
          <t xml:space="preserve">
</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Tony Ward</author>
  </authors>
  <commentList>
    <comment ref="M21" authorId="0" shapeId="0" xr:uid="{00000000-0006-0000-1B00-000001000000}">
      <text>
        <r>
          <rPr>
            <b/>
            <sz val="9"/>
            <color indexed="81"/>
            <rFont val="Tahoma"/>
            <family val="2"/>
          </rPr>
          <t>A general comment on the intent of this activity which by its nature provides a general guidance rather to the use of this activity.</t>
        </r>
        <r>
          <rPr>
            <sz val="9"/>
            <color indexed="81"/>
            <rFont val="Tahoma"/>
            <family val="2"/>
          </rPr>
          <t xml:space="preserve">
</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Tony Ward</author>
  </authors>
  <commentList>
    <comment ref="M21" authorId="0" shapeId="0" xr:uid="{00000000-0006-0000-1C00-000001000000}">
      <text>
        <r>
          <rPr>
            <b/>
            <sz val="9"/>
            <color indexed="81"/>
            <rFont val="Tahoma"/>
            <family val="2"/>
          </rPr>
          <t>A general comment on the intent of this activity which by its nature provides a general guidance rather to the use of this activity.</t>
        </r>
        <r>
          <rPr>
            <sz val="9"/>
            <color indexed="81"/>
            <rFont val="Tahoma"/>
            <family val="2"/>
          </rPr>
          <t xml:space="preserve">
</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Tony Ward</author>
  </authors>
  <commentList>
    <comment ref="M21" authorId="0" shapeId="0" xr:uid="{00000000-0006-0000-2000-000001000000}">
      <text>
        <r>
          <rPr>
            <b/>
            <sz val="9"/>
            <color indexed="81"/>
            <rFont val="Tahoma"/>
            <family val="2"/>
          </rPr>
          <t>A general comment on the intent of this activity which by its nature provides a general guidance rather to the use of this activity.</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Tony Ward</author>
  </authors>
  <commentList>
    <comment ref="D20" authorId="0" shapeId="0" xr:uid="{22E3BB6D-3092-4AFE-B595-9D1337E2BA91}">
      <text>
        <r>
          <rPr>
            <b/>
            <sz val="10"/>
            <color indexed="81"/>
            <rFont val="Tahoma"/>
            <family val="2"/>
          </rPr>
          <t xml:space="preserve">Enter Y if this activity applies to this site and N if it does not.  Only those activities marked Y will be used to calculate the liability for this Component.
</t>
        </r>
      </text>
    </comment>
    <comment ref="J20" authorId="0" shapeId="0" xr:uid="{92CD0FE6-C4C7-4006-932D-C5D6A7ADB1DD}">
      <text>
        <r>
          <rPr>
            <b/>
            <sz val="11"/>
            <color indexed="81"/>
            <rFont val="Tahoma"/>
            <family val="2"/>
          </rPr>
          <t>Alternative Unit Rates</t>
        </r>
        <r>
          <rPr>
            <b/>
            <sz val="9"/>
            <color indexed="81"/>
            <rFont val="Tahoma"/>
            <family val="2"/>
          </rPr>
          <t xml:space="preserve">
Users can put in their own rates which must be backed up with evidence.  The Department may or may not be prepared to accept such rates
</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Tony Ward</author>
  </authors>
  <commentList>
    <comment ref="D20" authorId="0" shapeId="0" xr:uid="{00000000-0006-0000-0700-000001000000}">
      <text>
        <r>
          <rPr>
            <b/>
            <sz val="10"/>
            <color indexed="81"/>
            <rFont val="Tahoma"/>
            <family val="2"/>
          </rPr>
          <t xml:space="preserve">Enter Y if this activity applies to this site and N if it does not.  Only those activities marked Y will be used to calculate the liability for this Component.
</t>
        </r>
      </text>
    </comment>
    <comment ref="G20" authorId="0" shapeId="0" xr:uid="{00000000-0006-0000-0700-000002000000}">
      <text>
        <r>
          <rPr>
            <b/>
            <sz val="9"/>
            <color indexed="81"/>
            <rFont val="Tahoma"/>
            <family val="2"/>
          </rPr>
          <t>Users can add in brief notes providing an explanation of the quantities and if applicable the rates they have used</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Tony Ward</author>
  </authors>
  <commentList>
    <comment ref="M21" authorId="0" shapeId="0" xr:uid="{00000000-0006-0000-0800-000001000000}">
      <text>
        <r>
          <rPr>
            <b/>
            <sz val="9"/>
            <color indexed="81"/>
            <rFont val="Tahoma"/>
            <family val="2"/>
          </rPr>
          <t>A general comment on the intent of this activity which by its nature provides a general guidance rather to the use of this activity.</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Tony Ward</author>
  </authors>
  <commentList>
    <comment ref="M21" authorId="0" shapeId="0" xr:uid="{00000000-0006-0000-0900-000001000000}">
      <text>
        <r>
          <rPr>
            <b/>
            <sz val="9"/>
            <color indexed="81"/>
            <rFont val="Tahoma"/>
            <family val="2"/>
          </rPr>
          <t>A general comment on the intent of this activity which by its nature provides a general guidance rather to the use of this activity.</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Tony Ward</author>
  </authors>
  <commentList>
    <comment ref="M21" authorId="0" shapeId="0" xr:uid="{00000000-0006-0000-0A00-000001000000}">
      <text>
        <r>
          <rPr>
            <b/>
            <sz val="9"/>
            <color indexed="81"/>
            <rFont val="Tahoma"/>
            <family val="2"/>
          </rPr>
          <t>A general comment on the intent of this activity which by its nature provides a general guidance rather to the use of this activity.</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Tony Ward</author>
  </authors>
  <commentList>
    <comment ref="M21" authorId="0" shapeId="0" xr:uid="{00000000-0006-0000-0B00-000001000000}">
      <text>
        <r>
          <rPr>
            <b/>
            <sz val="9"/>
            <color indexed="81"/>
            <rFont val="Tahoma"/>
            <family val="2"/>
          </rPr>
          <t>A general comment on the intent of this activity which by its nature provides a general guidance rather to the use of this activity.</t>
        </r>
        <r>
          <rPr>
            <sz val="9"/>
            <color indexed="81"/>
            <rFont val="Tahoma"/>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Tony Ward</author>
  </authors>
  <commentList>
    <comment ref="M21" authorId="0" shapeId="0" xr:uid="{00000000-0006-0000-0C00-000001000000}">
      <text>
        <r>
          <rPr>
            <b/>
            <sz val="9"/>
            <color indexed="81"/>
            <rFont val="Tahoma"/>
            <family val="2"/>
          </rPr>
          <t>A general comment on the intent of this activity which by its nature provides a general guidance rather to the use of this activity.</t>
        </r>
        <r>
          <rPr>
            <sz val="9"/>
            <color indexed="81"/>
            <rFont val="Tahoma"/>
            <family val="2"/>
          </rPr>
          <t xml:space="preserve">
</t>
        </r>
      </text>
    </comment>
  </commentList>
</comments>
</file>

<file path=xl/sharedStrings.xml><?xml version="1.0" encoding="utf-8"?>
<sst xmlns="http://schemas.openxmlformats.org/spreadsheetml/2006/main" count="5994" uniqueCount="1332">
  <si>
    <t>Activity No.</t>
  </si>
  <si>
    <t>Descriptions</t>
  </si>
  <si>
    <t>Unit Of Measurement</t>
  </si>
  <si>
    <t>Plant Costs</t>
  </si>
  <si>
    <t>Material Costs</t>
  </si>
  <si>
    <t>Labour Costs</t>
  </si>
  <si>
    <t>Task Costs</t>
  </si>
  <si>
    <t>Nominal Total</t>
  </si>
  <si>
    <t>A1001</t>
  </si>
  <si>
    <t>A1002</t>
  </si>
  <si>
    <t>A1003</t>
  </si>
  <si>
    <t>Pump Station - Above Ground on concrete slab - Demolish and remove</t>
  </si>
  <si>
    <t>Item</t>
  </si>
  <si>
    <t>A1004</t>
  </si>
  <si>
    <t>Major Bulk Pushing/Dozing to achieve Final Land Forms</t>
  </si>
  <si>
    <r>
      <t>m</t>
    </r>
    <r>
      <rPr>
        <vertAlign val="superscript"/>
        <sz val="11"/>
        <color theme="1"/>
        <rFont val="Calibri"/>
        <family val="2"/>
        <scheme val="minor"/>
      </rPr>
      <t>3</t>
    </r>
  </si>
  <si>
    <t>A1005</t>
  </si>
  <si>
    <t>A1006</t>
  </si>
  <si>
    <t>A1007</t>
  </si>
  <si>
    <t>A1008</t>
  </si>
  <si>
    <t>The haulage of materials per km per cubic metre of material</t>
  </si>
  <si>
    <t>A1009</t>
  </si>
  <si>
    <t>Ha</t>
  </si>
  <si>
    <t>A1010</t>
  </si>
  <si>
    <t>A1011</t>
  </si>
  <si>
    <t>A1012</t>
  </si>
  <si>
    <t>Lin m</t>
  </si>
  <si>
    <t>m3</t>
  </si>
  <si>
    <t>/km/m3</t>
  </si>
  <si>
    <t>Nominal Margin</t>
  </si>
  <si>
    <t>Project Costing</t>
  </si>
  <si>
    <t>Summary of Activity Costs</t>
  </si>
  <si>
    <t>UOM</t>
  </si>
  <si>
    <t>Default Assumptions</t>
  </si>
  <si>
    <t>Legend:</t>
  </si>
  <si>
    <t>&lt;1 km</t>
  </si>
  <si>
    <t>1 to 2 km</t>
  </si>
  <si>
    <t>2 to 5 km</t>
  </si>
  <si>
    <t>&gt;5 km</t>
  </si>
  <si>
    <t xml:space="preserve">Item Heading </t>
  </si>
  <si>
    <t>Activity Number</t>
  </si>
  <si>
    <t>Activity Descriptions</t>
  </si>
  <si>
    <t>Applicable to Site (Y/N)</t>
  </si>
  <si>
    <t>Quantity</t>
  </si>
  <si>
    <t xml:space="preserve">Unit </t>
  </si>
  <si>
    <t>Default Rate or calculated Rate</t>
  </si>
  <si>
    <t>Alternative Unit Rate</t>
  </si>
  <si>
    <t xml:space="preserve">Total Cost </t>
  </si>
  <si>
    <t>Description / Notes:</t>
  </si>
  <si>
    <t>Y</t>
  </si>
  <si>
    <t>Sum</t>
  </si>
  <si>
    <t>Determine the haul distance for the suitable material  (km)</t>
  </si>
  <si>
    <t>N</t>
  </si>
  <si>
    <t>Total</t>
  </si>
  <si>
    <t>km</t>
  </si>
  <si>
    <t xml:space="preserve">Activity to be Described by User </t>
  </si>
  <si>
    <r>
      <t xml:space="preserve">This Activity includes </t>
    </r>
    <r>
      <rPr>
        <sz val="9"/>
        <color rgb="FFFF0000"/>
        <rFont val="Calibri"/>
        <family val="2"/>
        <scheme val="minor"/>
      </rPr>
      <t xml:space="preserve">(to be added by user) </t>
    </r>
    <r>
      <rPr>
        <sz val="9"/>
        <rFont val="Calibri"/>
        <family val="2"/>
        <scheme val="minor"/>
      </rPr>
      <t>and the make up of the unit rate and quantity need to be provided.</t>
    </r>
  </si>
  <si>
    <t xml:space="preserve">Preliminaries </t>
  </si>
  <si>
    <t>Basic Cost</t>
  </si>
  <si>
    <t>Cartage</t>
  </si>
  <si>
    <t>Reduction Factor</t>
  </si>
  <si>
    <t>Distance</t>
  </si>
  <si>
    <t>Cost of material won and carted from Stockpiled material</t>
  </si>
  <si>
    <t>Spreading Materials on ground or an open area excluding compaction (&gt;1,000m3)</t>
  </si>
  <si>
    <t xml:space="preserve">Construction of a stock proof fence including appropriate gates </t>
  </si>
  <si>
    <t>Other Activity in Tailings Area Specific to this Operation</t>
  </si>
  <si>
    <t xml:space="preserve">Special Treatments </t>
  </si>
  <si>
    <t xml:space="preserve">User Defined Treatment of Tailings </t>
  </si>
  <si>
    <r>
      <t xml:space="preserve">This Activity includes </t>
    </r>
    <r>
      <rPr>
        <sz val="10"/>
        <color rgb="FFFF0000"/>
        <rFont val="Calibri"/>
        <family val="2"/>
        <scheme val="minor"/>
      </rPr>
      <t xml:space="preserve">(to be added by user) </t>
    </r>
    <r>
      <rPr>
        <sz val="10"/>
        <rFont val="Calibri"/>
        <family val="2"/>
        <scheme val="minor"/>
      </rPr>
      <t>and the make up of the unit rate and quantity need to be provided.</t>
    </r>
  </si>
  <si>
    <t>Topsoil Preparation and Revegetation of Tailings Area</t>
  </si>
  <si>
    <t>A1013</t>
  </si>
  <si>
    <t>Sourcing, Carting and Spreading of Topsoil over an Area</t>
  </si>
  <si>
    <t>Cost of Sourcing, carting and Spreading of Topsoil</t>
  </si>
  <si>
    <t>Stockpile will be shaped by pushing down the edges of the stockpile</t>
  </si>
  <si>
    <t>Design/Quantify/Survey</t>
  </si>
  <si>
    <t>Other Activity in Waste Dump Area</t>
  </si>
  <si>
    <t>Preliminaries</t>
  </si>
  <si>
    <t>Primary Earthworks and Shaping of the Dump</t>
  </si>
  <si>
    <t>A1014</t>
  </si>
  <si>
    <t>A1015</t>
  </si>
  <si>
    <t>A1017</t>
  </si>
  <si>
    <t>A1016</t>
  </si>
  <si>
    <t xml:space="preserve">Consolidation of loose Stockpiles of Waste and/or Ore </t>
  </si>
  <si>
    <t>Construction of Berm or Barrier to prevent Access</t>
  </si>
  <si>
    <t>Management of water run-off from the waste heap</t>
  </si>
  <si>
    <t>Pit or Quarry will remain open beyond the mining activity</t>
  </si>
  <si>
    <t>The principle rehabilitation purpose is to ensure that the pit is safe and stable</t>
  </si>
  <si>
    <t>A1018</t>
  </si>
  <si>
    <t xml:space="preserve">Drill and Blast the top bench to half height </t>
  </si>
  <si>
    <t>No</t>
  </si>
  <si>
    <t>Total for the Waste Dump (1)</t>
  </si>
  <si>
    <t>Km</t>
  </si>
  <si>
    <t>A1019</t>
  </si>
  <si>
    <t>Site Registration Details</t>
  </si>
  <si>
    <t>Site Name:</t>
  </si>
  <si>
    <t>Tenements:</t>
  </si>
  <si>
    <t>Site Operator:</t>
  </si>
  <si>
    <t>Dates:</t>
  </si>
  <si>
    <t>Start of Mining:</t>
  </si>
  <si>
    <t>Proposed end of</t>
  </si>
  <si>
    <t>Current Security Held:</t>
  </si>
  <si>
    <t>Last Reviewed:</t>
  </si>
  <si>
    <t>Operations:</t>
  </si>
  <si>
    <t>Registrant's Contact Details</t>
  </si>
  <si>
    <t>Name:</t>
  </si>
  <si>
    <t>Address:</t>
  </si>
  <si>
    <t>Phone:</t>
  </si>
  <si>
    <t>Email:</t>
  </si>
  <si>
    <t>Mobile:</t>
  </si>
  <si>
    <t>Site Location and Details</t>
  </si>
  <si>
    <t xml:space="preserve">Nearest Major </t>
  </si>
  <si>
    <t>Population Centre:</t>
  </si>
  <si>
    <t>Current Project Phase:</t>
  </si>
  <si>
    <t xml:space="preserve"> site (km) by Road?</t>
  </si>
  <si>
    <t xml:space="preserve">Distance from this centre to the </t>
  </si>
  <si>
    <t xml:space="preserve">Are materials containing sulphides mined or </t>
  </si>
  <si>
    <t xml:space="preserve">Are radioactive materials mined or </t>
  </si>
  <si>
    <t>Processed at this site?</t>
  </si>
  <si>
    <t>Site Summary</t>
  </si>
  <si>
    <t>Major Population Centres</t>
  </si>
  <si>
    <t>Greater Adelaide Region</t>
  </si>
  <si>
    <t>Broken Hill</t>
  </si>
  <si>
    <t>Mount Gambier</t>
  </si>
  <si>
    <t>Murray Bridge</t>
  </si>
  <si>
    <t>Port Augusta</t>
  </si>
  <si>
    <t>Port Lincoln</t>
  </si>
  <si>
    <t>Port Pirie</t>
  </si>
  <si>
    <t>Whyalla</t>
  </si>
  <si>
    <t>Kangaroo Island</t>
  </si>
  <si>
    <t>Current Project Phase</t>
  </si>
  <si>
    <t>Exploration Only</t>
  </si>
  <si>
    <t xml:space="preserve">Mining </t>
  </si>
  <si>
    <t>Mining and Processing</t>
  </si>
  <si>
    <t>Processing</t>
  </si>
  <si>
    <t>Care and Maintenance</t>
  </si>
  <si>
    <t>Closure</t>
  </si>
  <si>
    <t>Yes or No Answers</t>
  </si>
  <si>
    <t>Determination  of the Impact of the Location  of the Mine on the Cost Inputs</t>
  </si>
  <si>
    <t>Major Population Centre</t>
  </si>
  <si>
    <t>Centre</t>
  </si>
  <si>
    <t>Factor</t>
  </si>
  <si>
    <t>Labour</t>
  </si>
  <si>
    <t>Plant</t>
  </si>
  <si>
    <t>Materials</t>
  </si>
  <si>
    <t>Tasks</t>
  </si>
  <si>
    <t>Population Centre Factor:</t>
  </si>
  <si>
    <t>Distance Factor:</t>
  </si>
  <si>
    <t>Nominated Site Total</t>
  </si>
  <si>
    <t>Prices Adjusted for Population Centre and Distance from that Centre</t>
  </si>
  <si>
    <t>Distance from This Centre(km):</t>
  </si>
  <si>
    <t>Indirect Cost percentile</t>
  </si>
  <si>
    <t>Operator:</t>
  </si>
  <si>
    <t>Cost for this Component:</t>
  </si>
  <si>
    <t>Component as a % of Total:</t>
  </si>
  <si>
    <t xml:space="preserve">Total for Pit (1): </t>
  </si>
  <si>
    <t xml:space="preserve">Project Component </t>
  </si>
  <si>
    <t>Number</t>
  </si>
  <si>
    <t>Description</t>
  </si>
  <si>
    <t>Sub-Total</t>
  </si>
  <si>
    <t>Component Total</t>
  </si>
  <si>
    <t xml:space="preserve">Exploration </t>
  </si>
  <si>
    <t>Underground Workings</t>
  </si>
  <si>
    <t>Open Cut/Extractive Pits</t>
  </si>
  <si>
    <t>Processing Facilities (Incl. run-of-mine stockpiles</t>
  </si>
  <si>
    <t>Tailings Storage Facilities (including slimes ponds)</t>
  </si>
  <si>
    <t>Heap Leach Pads</t>
  </si>
  <si>
    <t>Rail Facilities</t>
  </si>
  <si>
    <t>Haul Roads and Access Roads</t>
  </si>
  <si>
    <t>Ancillary Areas (eg equipment depots, workshops, lay down areas)</t>
  </si>
  <si>
    <t>Borrow Pits (ancillary to operations)</t>
  </si>
  <si>
    <t>Sub-Total of Direct Costs</t>
  </si>
  <si>
    <t>Monitoring, Maintenance and other In-Direct Costs</t>
  </si>
  <si>
    <t>Monitoring:</t>
  </si>
  <si>
    <t>Maintenance:</t>
  </si>
  <si>
    <t>Government Management:</t>
  </si>
  <si>
    <t>Site Supervision:</t>
  </si>
  <si>
    <t>Insurances:</t>
  </si>
  <si>
    <t>Contingencies:</t>
  </si>
  <si>
    <t>Project Component 17</t>
  </si>
  <si>
    <t>Monitoring, Maintenance and Other In-Direct Costs</t>
  </si>
  <si>
    <t xml:space="preserve">% </t>
  </si>
  <si>
    <t>Component</t>
  </si>
  <si>
    <t>Sub-Total of the Rehabilitation Costs for the site:</t>
  </si>
  <si>
    <t>(From Summary Sheet)</t>
  </si>
  <si>
    <t>A1020</t>
  </si>
  <si>
    <t>Monitoring (Extractive Industries)</t>
  </si>
  <si>
    <t>A1021</t>
  </si>
  <si>
    <t>Monitoring (Mining Operations free of sulphides and radioactive materials)</t>
  </si>
  <si>
    <t>A1022</t>
  </si>
  <si>
    <t>Monitoring (Mining Operations producing radioactive materials - eg Uranium/mineral sands but not producing sulphidic materials)</t>
  </si>
  <si>
    <t>A1023</t>
  </si>
  <si>
    <t>Monitoring (Mining operations mining sulphidic materials)</t>
  </si>
  <si>
    <t>A1024</t>
  </si>
  <si>
    <t>Maintenance (including remedial earthworks, revegetation, weed and pest animal control)</t>
  </si>
  <si>
    <t>%</t>
  </si>
  <si>
    <t>A1025</t>
  </si>
  <si>
    <t>Government management costs</t>
  </si>
  <si>
    <t>A1026</t>
  </si>
  <si>
    <t>A1027</t>
  </si>
  <si>
    <t xml:space="preserve">Insurances </t>
  </si>
  <si>
    <t>A1028</t>
  </si>
  <si>
    <t>Contingencies</t>
  </si>
  <si>
    <t>Type of Mine:</t>
  </si>
  <si>
    <t>Type of Mine</t>
  </si>
  <si>
    <t>Metalliferous ore</t>
  </si>
  <si>
    <t xml:space="preserve">PEPR Monitoring Requirements </t>
  </si>
  <si>
    <t>Please select the duration of monitoring required in accordance with the approved Mining Plan</t>
  </si>
  <si>
    <t>Number of Years to Monitor?</t>
  </si>
  <si>
    <t>years</t>
  </si>
  <si>
    <t>Type of monitoring Regimes</t>
  </si>
  <si>
    <t>For this site the following regime will apply:</t>
  </si>
  <si>
    <t>Yes</t>
  </si>
  <si>
    <t>Extractive Operation</t>
  </si>
  <si>
    <t>Maintenance costs during the Monitoring period</t>
  </si>
  <si>
    <t>This figure is calculated at the nominated rate of the sub-total shown above.</t>
  </si>
  <si>
    <t>Government management costs - decommissioning and closure planning process, including tendering, preparation of decommissioning and closure plan and head office management</t>
  </si>
  <si>
    <t>Not Applicable</t>
  </si>
  <si>
    <t>Government Management Costs</t>
  </si>
  <si>
    <t>This cost reflects the costs to Government to organise and manage the rehabilitation of a site.    The costs are based on the Rehabilitation costs for the site</t>
  </si>
  <si>
    <t>Insurances</t>
  </si>
  <si>
    <t>Insurances associated with the work</t>
  </si>
  <si>
    <t>This reflects the inherent level of uncertainty in determining the detailed costs of decommissioning and rehabilitation of a mine site</t>
  </si>
  <si>
    <t>Total Rehabilitation Liability for the Operation</t>
  </si>
  <si>
    <t>Bond Recommendation</t>
  </si>
  <si>
    <t>Total Liability for the Site :</t>
  </si>
  <si>
    <t>% of Total</t>
  </si>
  <si>
    <t>n/a</t>
  </si>
  <si>
    <t>A1029</t>
  </si>
  <si>
    <t>A1030</t>
  </si>
  <si>
    <t>A1031</t>
  </si>
  <si>
    <t>A1032</t>
  </si>
  <si>
    <t>A1033</t>
  </si>
  <si>
    <t>A1034</t>
  </si>
  <si>
    <t>A1035</t>
  </si>
  <si>
    <t>A1036</t>
  </si>
  <si>
    <t xml:space="preserve">Demolition of Conveyors and Gantries - Demolish and remove to site dump </t>
  </si>
  <si>
    <t>m2</t>
  </si>
  <si>
    <t>Demolition of Plant and Process Facilities to Dump</t>
  </si>
  <si>
    <t>The activity include the demolition and removal of the plant superstructure, including piping, steel structures up to 5 levels and the removal to an approved on-site dump.  It does not include tanks or the foundations and footings supporting the super structure.</t>
  </si>
  <si>
    <t>Demolition and removal of Bitumen, spray seal and crushed rock roadbase</t>
  </si>
  <si>
    <t>Remediation of the Processing Plant area</t>
  </si>
  <si>
    <t>A1037</t>
  </si>
  <si>
    <t>A1038</t>
  </si>
  <si>
    <t>Characteristics of soil and groundwater contamination (Environmental site assessment)</t>
  </si>
  <si>
    <t>5+ km</t>
  </si>
  <si>
    <t>Other Activity in Processing Area Specific to this Operation</t>
  </si>
  <si>
    <t>Clean Process Facility of all materials and waste and Decontaminate ready for Demolition</t>
  </si>
  <si>
    <t>This activity precedes any demolition and involves the cleaning out of the processing facility of all materials, waste and rubbish prior to demolition.  It includes the removal of contaminated material and the decontamination of the plant.  It is in effect made ready for demolition.</t>
  </si>
  <si>
    <t>A1039</t>
  </si>
  <si>
    <r>
      <t xml:space="preserve">The assumed quantity in </t>
    </r>
    <r>
      <rPr>
        <b/>
        <sz val="12"/>
        <color theme="1"/>
        <rFont val="Calibri"/>
        <family val="2"/>
        <scheme val="minor"/>
      </rPr>
      <t>cubic metres</t>
    </r>
    <r>
      <rPr>
        <sz val="11"/>
        <color theme="1"/>
        <rFont val="Calibri"/>
        <family val="2"/>
        <scheme val="minor"/>
      </rPr>
      <t xml:space="preserve"> of material is calculated to be:</t>
    </r>
  </si>
  <si>
    <t>Demolition and re-Instatement of Haul and Access Road areas</t>
  </si>
  <si>
    <t>A1040</t>
  </si>
  <si>
    <t>A1041</t>
  </si>
  <si>
    <t>Demolition of Industrial and Other buildings and remove waste to designated dump on site.</t>
  </si>
  <si>
    <t>Version Control</t>
  </si>
  <si>
    <t>Date</t>
  </si>
  <si>
    <t>Version No.</t>
  </si>
  <si>
    <t>Section Changes and details of the Change.</t>
  </si>
  <si>
    <t>Beta Testing</t>
  </si>
  <si>
    <t>Revision Details</t>
  </si>
  <si>
    <t xml:space="preserve">Section  </t>
  </si>
  <si>
    <t>Re-Vegetation of Area</t>
  </si>
  <si>
    <t>Define Any Special Treatments for the Pit</t>
  </si>
  <si>
    <t>Primary Earthworks and Shaping of the Pit</t>
  </si>
  <si>
    <t>Select Distance</t>
  </si>
  <si>
    <t>Revision:</t>
  </si>
  <si>
    <t>Last Updated:</t>
  </si>
  <si>
    <t>Version:</t>
  </si>
  <si>
    <t>Date:</t>
  </si>
  <si>
    <t>Unit Costs for this Assessment</t>
  </si>
  <si>
    <t>% of Total Component  Cost</t>
  </si>
  <si>
    <t>Alternative Unit Rate by User</t>
  </si>
  <si>
    <t>User to Define if Applicable to Site (Y/N)</t>
  </si>
  <si>
    <t>Unit Rate</t>
  </si>
  <si>
    <t>A1042</t>
  </si>
  <si>
    <t>Demolition</t>
  </si>
  <si>
    <t>Disconnection and Termination of Main Electrical Power</t>
  </si>
  <si>
    <t>A1043</t>
  </si>
  <si>
    <t>Substations and Transformers - Demolish and Remove</t>
  </si>
  <si>
    <t>A1044</t>
  </si>
  <si>
    <t xml:space="preserve">Removal of Underground Cables </t>
  </si>
  <si>
    <t>A1045</t>
  </si>
  <si>
    <t>Removal of Overhead Cables/wires including poles as required</t>
  </si>
  <si>
    <t>A1046</t>
  </si>
  <si>
    <t>Demolition and Removal of Water Tanks (Metal or Concrete)</t>
  </si>
  <si>
    <t>A1047</t>
  </si>
  <si>
    <t>Removal of Water Treatment Plant (Fresh and Waste Water Plants)</t>
  </si>
  <si>
    <t>A1048</t>
  </si>
  <si>
    <t>A1049</t>
  </si>
  <si>
    <t>A1050</t>
  </si>
  <si>
    <t xml:space="preserve">Removal and demolition of Pump Station </t>
  </si>
  <si>
    <t>Preliminary  Activity</t>
  </si>
  <si>
    <t>Earthworks</t>
  </si>
  <si>
    <t>Re-Vegetation</t>
  </si>
  <si>
    <t>Monitoring</t>
  </si>
  <si>
    <t>Supervision</t>
  </si>
  <si>
    <t>Power Infrastructure</t>
  </si>
  <si>
    <t>Water and Sewage Infrastructure</t>
  </si>
  <si>
    <t>Water and Sewage infrastructure demolition and removal to on-site dump</t>
  </si>
  <si>
    <t>Total for Services Infrastructure including Borefields:</t>
  </si>
  <si>
    <t xml:space="preserve">Any Special Treatment (Defined by PEPR and/or approval process).  Activity to be separately defined </t>
  </si>
  <si>
    <t xml:space="preserve">Contingencies </t>
  </si>
  <si>
    <t>Conceptual /Outline of Intentions</t>
  </si>
  <si>
    <t>Rehabilitation Concept/Drawings</t>
  </si>
  <si>
    <t>Fully Scoped Rehabilitation Project</t>
  </si>
  <si>
    <t>Fully Quoted Project</t>
  </si>
  <si>
    <t>The level of contingencies applied to the costs is based on the level of detail in relation to the rehabilitation or closure plans for the mine.  Please select the appropriate level of detail.</t>
  </si>
  <si>
    <t>Level of Rehabilitation Detail:</t>
  </si>
  <si>
    <t>Choice:</t>
  </si>
  <si>
    <t>Assumed Monitoring Activity period is:</t>
  </si>
  <si>
    <t>Years</t>
  </si>
  <si>
    <t>The level of Rehabilitation Details supplied is:</t>
  </si>
  <si>
    <t>Lookup Table</t>
  </si>
  <si>
    <t>Terms and Conditions of Use</t>
  </si>
  <si>
    <t>Clause</t>
  </si>
  <si>
    <t>Conditions</t>
  </si>
  <si>
    <t>The Operator may only use the Calculator subject to these terms and conditions of use.  In using the Calculator, the Operator agrees to be bound by these terms and conditions of use.</t>
  </si>
  <si>
    <t>The Operator should rely on their own independent investigations, review and analysis in using the Calculator.</t>
  </si>
  <si>
    <t>12.2(a)</t>
  </si>
  <si>
    <t>12.2(b)</t>
  </si>
  <si>
    <t>the Operator's reliance on any part of the Calculator, any information contained in the Calculator or any Calculation derived by use of the Calculator</t>
  </si>
  <si>
    <t>12.2(c)</t>
  </si>
  <si>
    <t>12.2 (c)(i)</t>
  </si>
  <si>
    <t>being accurate, incomplete or unfit for any particular purpose; or</t>
  </si>
  <si>
    <t>12.2 (c)(ii)</t>
  </si>
  <si>
    <t>12.2(d)</t>
  </si>
  <si>
    <t>replacement of the goods or supply of equivalent goods;</t>
  </si>
  <si>
    <t>payment of the costs of replacing the goods or of acquiring equivalent goods;</t>
  </si>
  <si>
    <t>supplying the services again; or</t>
  </si>
  <si>
    <r>
      <t xml:space="preserve">Operator - a holder of an exploration or mining licence under the </t>
    </r>
    <r>
      <rPr>
        <i/>
        <sz val="11"/>
        <color theme="1"/>
        <rFont val="Calibri"/>
        <family val="2"/>
        <scheme val="minor"/>
      </rPr>
      <t>Mining Act 1971</t>
    </r>
  </si>
  <si>
    <t>These terms and conditions are governed by and are to be construed in accordance with the laws applying in the State of South Australia.</t>
  </si>
  <si>
    <t>The output of the Calculator will depend upon the accuracy of the information entered by the Operator concerning the relevant approved PEPR and current and future conditions.</t>
  </si>
  <si>
    <t>excludes any liability (whether arising from negligence or otherwise) for any claims, expenses, losses, damages and costs, including direct , indirect or consequential loss, legal costs and including loss of revenue, contracts, profit or opportunity which the Operator may directly or indirectly suffer in connection with:</t>
  </si>
  <si>
    <t>the Operator's use of or access to (or inability to use or access) any part of the Calculator, or any information contained in the Calculator or any calculation derived by use of the Calculator</t>
  </si>
  <si>
    <t>any part of the Calculator, or any information contained n the Calculator or any calculation derived from the Calculator:</t>
  </si>
  <si>
    <t>Definitions- These terms have the following meaning in these terms and conditions of use:</t>
  </si>
  <si>
    <t xml:space="preserve">PEPR - Program for Environmental Protection and Rehabilitation </t>
  </si>
  <si>
    <t>Other Activity in for Haul Roads</t>
  </si>
  <si>
    <t>A1051</t>
  </si>
  <si>
    <t>Water Management</t>
  </si>
  <si>
    <t>Construction of inflow and outflow/spillway structures for water storage facilities</t>
  </si>
  <si>
    <t>A1052</t>
  </si>
  <si>
    <t>Removal of Sediments from Bottom of Dam</t>
  </si>
  <si>
    <t>A1053</t>
  </si>
  <si>
    <t>Pumping of liquid from a Dam to waste storage or evaporation pond</t>
  </si>
  <si>
    <t>Engineering Assessment of Water Retaining Structures</t>
  </si>
  <si>
    <t xml:space="preserve">Treatment of Dams to be filled in or removed </t>
  </si>
  <si>
    <t>Water Course Diversions</t>
  </si>
  <si>
    <t>It may be necessary to drill and blast the top bench to roll over the top bench</t>
  </si>
  <si>
    <t xml:space="preserve">Secured Workbook </t>
  </si>
  <si>
    <t>Workbook</t>
  </si>
  <si>
    <t>Secured sheets for Distribution</t>
  </si>
  <si>
    <t>Cells for Inputting Information</t>
  </si>
  <si>
    <t>Any Special demolition consideration or element not covered above</t>
  </si>
  <si>
    <t>Section 62  of the Mining Act 1971 entitled Bond and Security Reads:</t>
  </si>
  <si>
    <t>(1)</t>
  </si>
  <si>
    <t>The Minister may, by notice in writing served on an applicant for, or the holder of, a mining tenement, require him to enter into a bond in such sum and subject to such terms and conditions as ensure, in the opinion of the Minister, that:-</t>
  </si>
  <si>
    <t>(a)</t>
  </si>
  <si>
    <t>(b)</t>
  </si>
  <si>
    <t>the present and future obligations of that person in relation to the rehabilitation of land disturbed by mining operations,</t>
  </si>
  <si>
    <t>will be satisfied.</t>
  </si>
  <si>
    <t>Input Page</t>
  </si>
  <si>
    <t xml:space="preserve">The General information pertaining to a mine is entered on this page </t>
  </si>
  <si>
    <t>Summary Page</t>
  </si>
  <si>
    <t xml:space="preserve">Provides a record of the particular version and history of changes in the document (There are no user inputs) </t>
  </si>
  <si>
    <t>Distance Sheet</t>
  </si>
  <si>
    <t xml:space="preserve">This page is used to adjust costs dependent upon the distances from major population centres  (There are no user inputs) </t>
  </si>
  <si>
    <t>Activities</t>
  </si>
  <si>
    <t xml:space="preserve">A list of all the pre-determined activities used in the calculation sheets for the various components of rehabilitation.  (There are no user inputs) </t>
  </si>
  <si>
    <t>Worksheets</t>
  </si>
  <si>
    <t>Instructions for Use</t>
  </si>
  <si>
    <r>
      <t xml:space="preserve">Complete the company and tenement details on the </t>
    </r>
    <r>
      <rPr>
        <b/>
        <sz val="11"/>
        <color theme="1"/>
        <rFont val="Calibri"/>
        <family val="2"/>
        <scheme val="minor"/>
      </rPr>
      <t>Input Page</t>
    </r>
  </si>
  <si>
    <t>Commence with the Various Component Worksheets.</t>
  </si>
  <si>
    <t>In some cases the distance will also need to be selected.</t>
  </si>
  <si>
    <t>The program will then calculate the cost of this activity</t>
  </si>
  <si>
    <t xml:space="preserve">Options </t>
  </si>
  <si>
    <t>The option also exists for users to define an activity and in these cases the user should describe the activity as well as entering the rates and add where necessary a comment on the final cell.</t>
  </si>
  <si>
    <t>Limitations</t>
  </si>
  <si>
    <t>Errors may be present and omission may have occurred.  Any feedback is welcome.</t>
  </si>
  <si>
    <t>any civil or statutory liability likely to be incurred by that person in the course of carrying out mining operations; and</t>
  </si>
  <si>
    <t>Working through the activities select those that are applicable and select "Y" indicating they are applicable.</t>
  </si>
  <si>
    <t>Add in the relevant quantity noting the units.</t>
  </si>
  <si>
    <t>The Activities may not truly represent what is planned for that particular rehabilitation activity in which case the user has the option of accepting the approximation or defining their own activity.</t>
  </si>
  <si>
    <t>How it works</t>
  </si>
  <si>
    <t>Explanation</t>
  </si>
  <si>
    <t>The table below outlines the various Activities which are used to make up the liability estimate for the site.  The activities are numbered and have a brief descriptions and an initial cost of that activity broken up into labour, material, plant and task costs as appropriate.  The costs are based on a third party determination.</t>
  </si>
  <si>
    <t>Notes</t>
  </si>
  <si>
    <t>% of Total Monitoring Cost</t>
  </si>
  <si>
    <t>Minor Updates</t>
  </si>
  <si>
    <t xml:space="preserve">Minor details to update sheets </t>
  </si>
  <si>
    <t>If mining has occurred concurrently then other project components will need to be addressed as appropriate</t>
  </si>
  <si>
    <t xml:space="preserve">This sheet covers all exploration rehabilitation activities </t>
  </si>
  <si>
    <t>A1054</t>
  </si>
  <si>
    <t>A1055</t>
  </si>
  <si>
    <t>Cost of Transporting Buildings and Containers</t>
  </si>
  <si>
    <t>A1056</t>
  </si>
  <si>
    <t>A1057</t>
  </si>
  <si>
    <t>Transport costs associated with Tipper Rubbish Removal from site</t>
  </si>
  <si>
    <t>A1058</t>
  </si>
  <si>
    <t>This activity covers the situation where a hard stand area needs to be deep ripped by a dozer or appropriate machine.  It may be required to key in materials or situations where the ground is heavily compacted.</t>
  </si>
  <si>
    <t>A1059</t>
  </si>
  <si>
    <t>A1060</t>
  </si>
  <si>
    <t>A1061</t>
  </si>
  <si>
    <t>A1062</t>
  </si>
  <si>
    <t>A1063</t>
  </si>
  <si>
    <t>A1064</t>
  </si>
  <si>
    <t>Removal of a dam liner and minor pipework to enable the reinstatement of a water dam or other storage facility.</t>
  </si>
  <si>
    <t>Other Activity in Exploration Area</t>
  </si>
  <si>
    <t xml:space="preserve">Referring to the major roads only </t>
  </si>
  <si>
    <t>Total for Exploration:</t>
  </si>
  <si>
    <t>Added Exploration</t>
  </si>
  <si>
    <t>Added Exploration Sheet and Modified appearance of other sheets</t>
  </si>
  <si>
    <t>Amended Formatting</t>
  </si>
  <si>
    <t>Added Protection and Reformatted appearance for consistency</t>
  </si>
  <si>
    <t>Any Comments</t>
  </si>
  <si>
    <t>General Intent, Comments and Assumptions</t>
  </si>
  <si>
    <t>Opportunity for User to add in an Explanation and/or Comments</t>
  </si>
  <si>
    <t>Tidied up and introduced a Password to protect the sheets</t>
  </si>
  <si>
    <t>Password:</t>
  </si>
  <si>
    <t>A1065</t>
  </si>
  <si>
    <t xml:space="preserve">Re-establishment and repairs to heap leaching circuit </t>
  </si>
  <si>
    <t>A1066</t>
  </si>
  <si>
    <t>Flushing of solution or water through heap leach stockpiles to remove contaminated materials.</t>
  </si>
  <si>
    <t>A1067</t>
  </si>
  <si>
    <t>A1068</t>
  </si>
  <si>
    <t>Provision of water treatment equipment to treat water from heap leach (or TSF) operations.</t>
  </si>
  <si>
    <t>A1069</t>
  </si>
  <si>
    <t>Removal of well head, cutting the casing and backfilling the area</t>
  </si>
  <si>
    <t>Sealing and Plugging of a Well or Bore using Grout or Concrete</t>
  </si>
  <si>
    <t>Borefields including water fields and insitu leaching fields</t>
  </si>
  <si>
    <t>Enter the average depth (in metres) of the bores or wells:</t>
  </si>
  <si>
    <t>Other Activity in respect of Services</t>
  </si>
  <si>
    <t>Infrastructure Sheet</t>
  </si>
  <si>
    <t>Revised and upgraded borefield information on sheet</t>
  </si>
  <si>
    <t>A1070</t>
  </si>
  <si>
    <t>Removal and Disposal of Major Trunk Pipelines</t>
  </si>
  <si>
    <t>A1071</t>
  </si>
  <si>
    <t>Preparation of Transportable units for Demolition and/or Transport off-site</t>
  </si>
  <si>
    <t>This activity covers the costs of removing transportable buildings and/or containers.  It assumes that these buildings can be lifted onto trucks and transported from the site for storage and/or sale.  The only costs included are the cost of loading onto a truck and transporting away.</t>
  </si>
  <si>
    <t>Determine the Distance to Transport Rubbish.(Kilometres) (Drop down box)</t>
  </si>
  <si>
    <t>Preliminary Assessments</t>
  </si>
  <si>
    <t>To Identify and Characterise the material in the heap leach including the extent of flushing and design of the cover</t>
  </si>
  <si>
    <t>Flushing and Neutralising of Heap Leach Stockpiles</t>
  </si>
  <si>
    <t>Ml Range</t>
  </si>
  <si>
    <t>Cost</t>
  </si>
  <si>
    <t>Monthly Cost</t>
  </si>
  <si>
    <t>This activity provides for the flushing of water and/or solution through the heap leach stockpiles in order to flush any chemicals from the stockpile.  (Examples include cyanide, sulphuric acid, etc.)</t>
  </si>
  <si>
    <t>1 to 2 Ml per month</t>
  </si>
  <si>
    <t>2 to 5 Ml per month</t>
  </si>
  <si>
    <t>Demolition of Heap Leach Infrastructure</t>
  </si>
  <si>
    <t xml:space="preserve">The activity covers the occasions when it is necessary to construct a diversion channel to either divert water away from an area or to channel water from one area to another.  The assumption is that the level of water flowing through the channel is limited rather than a creek flow or major outflow.  Some allowance has been made for the incorporation of minor rock or velocity limiting structures but not major spillways or energy dissipaters. </t>
  </si>
  <si>
    <t>A1072</t>
  </si>
  <si>
    <t>Construction of Water Diversion Channels/Drains</t>
  </si>
  <si>
    <t>Choose Range</t>
  </si>
  <si>
    <t>6 to 9.9 Ml per month</t>
  </si>
  <si>
    <t>9.9+ Ml per month</t>
  </si>
  <si>
    <t>Primary Earthworks and Construction of the Cover for the Heap Leach Facility</t>
  </si>
  <si>
    <t>Heap Leach Sheet Added</t>
  </si>
  <si>
    <t>Added sheet on the rehabilitation of heap leach facilities</t>
  </si>
  <si>
    <t>Total for the Haul and Access Road Re-instatement</t>
  </si>
  <si>
    <t>Specific Name for this component (if applicable):</t>
  </si>
  <si>
    <t>Project Component:</t>
  </si>
  <si>
    <t>Total Liability for the Site:</t>
  </si>
  <si>
    <t>Version Date:</t>
  </si>
  <si>
    <t xml:space="preserve">Component as a % of Total: </t>
  </si>
  <si>
    <t>Potential Issues that may need to be considered in assessing the Rehabilitation Liability for this component (It is not an exclusive list)</t>
  </si>
  <si>
    <t>Rehabilitation Story for this Component</t>
  </si>
  <si>
    <t>Cells for Alternative Unit Rates and Specific Comments/Actions</t>
  </si>
  <si>
    <t xml:space="preserve">Removal and disposal of Ancillary Equipment </t>
  </si>
  <si>
    <t>A1073</t>
  </si>
  <si>
    <t>A1074</t>
  </si>
  <si>
    <t>The sealing of a shaft with a Concrete Cap</t>
  </si>
  <si>
    <t>The Sealing of Shafts</t>
  </si>
  <si>
    <t>A1075</t>
  </si>
  <si>
    <t xml:space="preserve">Construction of a Concrete wall to seal a Portal </t>
  </si>
  <si>
    <t>No Entry in this cell</t>
  </si>
  <si>
    <t>The removal of structures relating to the underground mine</t>
  </si>
  <si>
    <t>Exploration</t>
  </si>
  <si>
    <t>The sealing of all shafts, portals and ventilation openings</t>
  </si>
  <si>
    <t>Description of Closure Activity:</t>
  </si>
  <si>
    <t>Detailed Rehabilitation Plan</t>
  </si>
  <si>
    <t>Office Use only</t>
  </si>
  <si>
    <t>Grouting of Drill Holes and includes cutting off and sealing (For Drill holes that pass through aquifers)</t>
  </si>
  <si>
    <t>This activity covers the grouting of holes that are drilled through aquifers and there is a need to prevent cross contamination of aquifers.</t>
  </si>
  <si>
    <r>
      <t xml:space="preserve">Describe in general terms  the proposed methodology for rehabilitating this component of the mine.  The activities associated with this methodology form the basis for the determination of the rehabilitation liability in the workings below. </t>
    </r>
    <r>
      <rPr>
        <b/>
        <sz val="12"/>
        <color rgb="FFFF0000"/>
        <rFont val="Calibri"/>
        <family val="2"/>
        <scheme val="minor"/>
      </rPr>
      <t xml:space="preserve"> (Proponents can add to any existing descriptions.)</t>
    </r>
  </si>
  <si>
    <t>Open Cut Mine/ Extractive Pits</t>
  </si>
  <si>
    <t>Pit Stability and Wall Failure</t>
  </si>
  <si>
    <t xml:space="preserve">Water within the pit and Preventing Access </t>
  </si>
  <si>
    <t>Pit 1</t>
  </si>
  <si>
    <t xml:space="preserve">The cost for this activity will need to be determined by the proponent for each shaft.  The work should include the full removal and disposal of the shaft headframe and the associated equipment. </t>
  </si>
  <si>
    <t>Topsoil Preparation and Revegetation of the Area</t>
  </si>
  <si>
    <t>Other Activity that may be applicable to this area</t>
  </si>
  <si>
    <t xml:space="preserve">Waste Rock Dumps </t>
  </si>
  <si>
    <t>Dump No 1</t>
  </si>
  <si>
    <t>Stability of the waste dump including dispersive soils</t>
  </si>
  <si>
    <t>Special Treatments for Waste Rock Dump</t>
  </si>
  <si>
    <t>Topsoil Preparation and Revegetation of Waste Dump Area</t>
  </si>
  <si>
    <t>Processing Facilities</t>
  </si>
  <si>
    <t xml:space="preserve">The nature of the waste rock and potential leaching of minerals or acid </t>
  </si>
  <si>
    <t>All ancillary equipment has been removed prior to rehabilitation</t>
  </si>
  <si>
    <t xml:space="preserve">Shaping of the dump to achieve visual amenity </t>
  </si>
  <si>
    <t>All Plant processing areas should be included even if separate</t>
  </si>
  <si>
    <t>The decontamination and cleaning out of the plant</t>
  </si>
  <si>
    <t>A1076</t>
  </si>
  <si>
    <t>Demolish heavy duty concrete structures, crusher and other equipment footings</t>
  </si>
  <si>
    <t>A1077</t>
  </si>
  <si>
    <t xml:space="preserve">Demolish concrete pads, normal shed floors, pathways and minor footings  </t>
  </si>
  <si>
    <t>Tailings Storage Facility</t>
  </si>
  <si>
    <t>Long term containment of tailings and stability of containment structure</t>
  </si>
  <si>
    <t>The type of cover material, the depth of cover and the shaping of the surface</t>
  </si>
  <si>
    <t>Management of water run-off to prevent erosion</t>
  </si>
  <si>
    <t>The extent and nature of revegetation across the surface</t>
  </si>
  <si>
    <t>Heap Leach Facility</t>
  </si>
  <si>
    <t>Volume of water to be pumped per month</t>
  </si>
  <si>
    <t>Haul and Access Roads</t>
  </si>
  <si>
    <t>Administration and Accommodation</t>
  </si>
  <si>
    <t>This component deals with major haul roads and access roads</t>
  </si>
  <si>
    <t>Roads within the mine area are rehabilitated as part of the area rehabilitation</t>
  </si>
  <si>
    <t>No allowance has been made for creek crossings or underpasses etc.</t>
  </si>
  <si>
    <t xml:space="preserve">It is assumed that a suitable dump exists within the mine site to dump waste </t>
  </si>
  <si>
    <t>It is assumed suitable cover and topsoil is available near by.</t>
  </si>
  <si>
    <t>The activity include the demolition and removal of concrete floors in sheds, pathways, and minor footings.  (It does not cover major concrete equipment support bases)</t>
  </si>
  <si>
    <t>Ancillary Areas</t>
  </si>
  <si>
    <t xml:space="preserve">Demolition and Removal of Offices, Camp and Accommodation Units </t>
  </si>
  <si>
    <t>A1078</t>
  </si>
  <si>
    <t>Cost of Sourcing, carting and Spreading of Topsoil  (A1013)</t>
  </si>
  <si>
    <t xml:space="preserve">The activity include the demolition and removal of the the heavy duty concrete footings and bases used for the support of major items of plant and equipment primarily around the processing plant.  </t>
  </si>
  <si>
    <t xml:space="preserve">Demolition of Workshops and other ancillary Industrial Buildings </t>
  </si>
  <si>
    <t>Earthworks across the Ancillary Areas</t>
  </si>
  <si>
    <t>Other Activities in  Area Specific to this Site</t>
  </si>
  <si>
    <t>Services Infrastructure</t>
  </si>
  <si>
    <t>Power Demolition includes powerlines directly associated with the mine</t>
  </si>
  <si>
    <t xml:space="preserve">Administration and Accommodation </t>
  </si>
  <si>
    <t>ML</t>
  </si>
  <si>
    <t>Construction of Silt Traps or Evaporation Ponds</t>
  </si>
  <si>
    <t>This activity is a general activity and it involves shaping of critical areas, the construction of minor water management drains, rock lining of the drains, dams and diversion channels to manage water run-off from the area. It is based on a rate per hectare (based only on the hectares associated with the run-off management) and includes channel excavation, rock lining and minor dam construction.  (Operator may prefer to better define this activity)</t>
  </si>
  <si>
    <t>This activity covers the construction of inflow and outflow/spillway structures to ensure the long term stability of the water storage facilities.  The structures should be in accordance with the engineering design and suitable for the long term.</t>
  </si>
  <si>
    <t>Third Party Rehabilitation Project Management and Site Supervision during closure (by Government or designated party) - contractor and other stakeholder management, site inspections and auditing of outcomes</t>
  </si>
  <si>
    <t>Password Protection</t>
  </si>
  <si>
    <t>processed at this site?</t>
  </si>
  <si>
    <t>Please select the name and distance of the nearest population centre to your project site.  Select the current project phase and indicate if the material being mined contains sulphidic or radioactive materials.</t>
  </si>
  <si>
    <t>(Select from Drop Down Box)</t>
  </si>
  <si>
    <t xml:space="preserve">The Rehabilitation liability is determined by the sum of a number of rehabilitation activities.  The unit cost of these activities have been based on an estimate to provide that activity in Adelaide.    This sheet determines a factor which can be applied to the initial activity cost estimate to allow for both the distance from a population centre and the population centre itself.  </t>
  </si>
  <si>
    <t>The main component is labour which varies as the distance from the population centre increases.  As you move away from the population centre employees need to be accommodated and additions costs are incurred in transport of equipment and materials.  There is no user input on this worksheet.</t>
  </si>
  <si>
    <t>Updated Format and new sheets</t>
  </si>
  <si>
    <t>Pit 2</t>
  </si>
  <si>
    <t>Pit 3</t>
  </si>
  <si>
    <t>Dump No 2</t>
  </si>
  <si>
    <t>Dump No 3</t>
  </si>
  <si>
    <t>The monitoring cost is dependent upon the nature of the mine and the number of years that the mine needs to be monitored post closure.  The cost is modified by the distance from any population centre</t>
  </si>
  <si>
    <t>Sand Mining</t>
  </si>
  <si>
    <t>Added in Minor Shaping PC 3</t>
  </si>
  <si>
    <t>PC3 Sheet</t>
  </si>
  <si>
    <t xml:space="preserve">Added in a function for the minor shaping of areas plus wrap text </t>
  </si>
  <si>
    <t>(MMM-YY)</t>
  </si>
  <si>
    <t>Added in ISO Uranium Mines</t>
  </si>
  <si>
    <t>A1079</t>
  </si>
  <si>
    <t>Demolition, Removing and Dumping of ISO Well Houses or Filter Skids from Wellfields</t>
  </si>
  <si>
    <t>Removal of submersible pumps (and/or Injection piping) from a bore</t>
  </si>
  <si>
    <t>A1080</t>
  </si>
  <si>
    <t>Rehab of Wells</t>
  </si>
  <si>
    <t>This Activity covers the removal of the spiderlines from the wellhouse to the individual wells, the removal of any signal cables to the well, the grouting of the well, breaking off the top 0.5 metres of the casing, backfilling of the hole to surface level.  It includes the removal and chipping of the spiderlines and dumping of the chips into an approved dump on the site.</t>
  </si>
  <si>
    <t>A1081</t>
  </si>
  <si>
    <t>A1082</t>
  </si>
  <si>
    <t>PC 15 Sheet</t>
  </si>
  <si>
    <t>This cost covers the third party costs associated with the Third party Project management costs incurred to plan and manage the rehabilitation project.</t>
  </si>
  <si>
    <t>This activity covers the situation when waste and/or equipment needs to be disposed of on site and buried (where approved).  This excavation therefore assumes a free digging site using an excavator and truck to remove sufficient material to enable the burying of any waste and disposed equipment.  The costs include the later covering and compaction of the waste  pit with the material previously dug out and it assumes any excess material can spread out over the site or used in other areas.</t>
  </si>
  <si>
    <t>Services infrastructure (water sewage, power, water borefields)</t>
  </si>
  <si>
    <t>A1083</t>
  </si>
  <si>
    <t>Radiological and Contamination Survey of Wellfields</t>
  </si>
  <si>
    <t>Hole</t>
  </si>
  <si>
    <t>Changed Activity A1060</t>
  </si>
  <si>
    <t>Minor changes resulting from a productivity change in an activity A1060.</t>
  </si>
  <si>
    <t>Summary Report of Rehabilitation Liability Calculation</t>
  </si>
  <si>
    <t>Water Management (eg dams, watercourses, diversions)</t>
  </si>
  <si>
    <t>Waste Rock Dumps (incl low grade stockpiles)</t>
  </si>
  <si>
    <t>Disconnection of Services to Individual Camp, Office or Other units (Unit basis)</t>
  </si>
  <si>
    <t>User defined special treatment such as membrane cover of tailings, capillary layers, special cover material, etc.</t>
  </si>
  <si>
    <t>Primary Earthworks and Construction of the Cover for the Tailing Facility</t>
  </si>
  <si>
    <t xml:space="preserve">No salvageable value is attributed to any item </t>
  </si>
  <si>
    <t xml:space="preserve">This Component covers the removal and rehabilitation associated where applicable with the main power supply and transmission lines, the water pipelines, sewerage infrastructure and borefields, but excludes ISO borefields which are assessed separately (PC 15). </t>
  </si>
  <si>
    <t>Includes the Rehabilitation of Borefields (Excludes ISO Borefields)</t>
  </si>
  <si>
    <t xml:space="preserve">This activity covers the radiological and contamination survey that is necessary prior to the completion of the rehabilitation of a well field.  For simplicity it is based on a rate per hole irrespective of whether the hole is an injection hole or an extraction hole and covers the surrounding area including the spider lines and trunk line.  </t>
  </si>
  <si>
    <t xml:space="preserve">Third Party Rehabilitation Project Management Costs including Overall Site Supervision during closure </t>
  </si>
  <si>
    <t>Cost of insurances associated with the project</t>
  </si>
  <si>
    <t>The percentage for contingencies is dependent upon the level of detail provided for the ultimate rehabilitation and closure of the mine.</t>
  </si>
  <si>
    <t>Monitoring of Rehabilitation Outcomes</t>
  </si>
  <si>
    <t>Significant update including process plant, Ancillary areas and formatting</t>
  </si>
  <si>
    <t>Established a separate sheet for determining costs of rehabilitation on ISO Mines.   Changed values for borefields on Services Infrastructure Sheets PC 13.  Other minor corrections and the ability to nominate the third party costs (PC 17) have been included.</t>
  </si>
  <si>
    <t>Calculation correction</t>
  </si>
  <si>
    <t>"IF" statement in cell AB40 corrected.  Minor spelling corrections throughout workbook.</t>
  </si>
  <si>
    <t>The activity costs are adjusted by two factors, one the population centre itself and the distance from that population centre based on your input.  To this total is added a percentage for indirect costs associated with any activity to cover site supervisors, vehicles and other such costs.  A final activity cost is arrived at which is reflected in the various worksheets which make up the cost component.  There is no user input on this sheet.</t>
  </si>
  <si>
    <t xml:space="preserve">Total for Pit (2): </t>
  </si>
  <si>
    <t>Added Activity A1004</t>
  </si>
  <si>
    <t>PC3 Sheets</t>
  </si>
  <si>
    <t>Added Major Bulk Pushing/Dozing activity</t>
  </si>
  <si>
    <t>Complex Waste Dump Structures</t>
  </si>
  <si>
    <t>Simple Waste Dump Structures</t>
  </si>
  <si>
    <t>Complex Water Management Structures</t>
  </si>
  <si>
    <t>Simple Water Management Structures</t>
  </si>
  <si>
    <t>Complex Benches</t>
  </si>
  <si>
    <t>Simple Benches</t>
  </si>
  <si>
    <t>No structures</t>
  </si>
  <si>
    <t>Post Surrender Residual Risk</t>
  </si>
  <si>
    <t>A1084</t>
  </si>
  <si>
    <t>This activity covers the winning of suitable material, transporting to the shaft or adit and then pushing the material into the shaft or adit to seal the access.  (Sealing a shaft or adit with concrete will need a special process)</t>
  </si>
  <si>
    <t>A1085</t>
  </si>
  <si>
    <t>A1086</t>
  </si>
  <si>
    <t>A1087</t>
  </si>
  <si>
    <t>A1088</t>
  </si>
  <si>
    <t>A1089</t>
  </si>
  <si>
    <t>This activity covers the situation when  a concrete cap is installed to seal and cover a shaft.  It is assumed the concrete cap is 1 metre thick and supported by suitable formwork.  It is based on the size of the shaft with a contingency for oversize</t>
  </si>
  <si>
    <t>Potential Issues that may need to be considered in assessing the Rehabilitation Liability for this component (It is not an exhaustive list)</t>
  </si>
  <si>
    <t>Select Complexity</t>
  </si>
  <si>
    <t>Construction of Water Run-off Management Structures and/or Dams</t>
  </si>
  <si>
    <t>Determine the design required based on compexity of pit</t>
  </si>
  <si>
    <t>A1090</t>
  </si>
  <si>
    <t>A1091</t>
  </si>
  <si>
    <t>A1092</t>
  </si>
  <si>
    <t>A1093</t>
  </si>
  <si>
    <t>A1094</t>
  </si>
  <si>
    <t>A1095</t>
  </si>
  <si>
    <t>A1096</t>
  </si>
  <si>
    <t>A1097</t>
  </si>
  <si>
    <t>A1098</t>
  </si>
  <si>
    <t>A1099</t>
  </si>
  <si>
    <t>A1100</t>
  </si>
  <si>
    <t>A1101</t>
  </si>
  <si>
    <t>A1102</t>
  </si>
  <si>
    <t>A1103</t>
  </si>
  <si>
    <t>A1104</t>
  </si>
  <si>
    <t>A1105</t>
  </si>
  <si>
    <t>A1106</t>
  </si>
  <si>
    <t>A1107</t>
  </si>
  <si>
    <t>m2/floor</t>
  </si>
  <si>
    <t>Determine the haul distance for the cover material  (km)</t>
  </si>
  <si>
    <t>Open Cut</t>
  </si>
  <si>
    <t>Waste Dumps</t>
  </si>
  <si>
    <t>Tailings Storage</t>
  </si>
  <si>
    <t>Heap Leach Facilities</t>
  </si>
  <si>
    <t>Admin and Accommodation</t>
  </si>
  <si>
    <t>ISR Uranium Mines</t>
  </si>
  <si>
    <t>Monitoring and Other Cost</t>
  </si>
  <si>
    <t>x</t>
  </si>
  <si>
    <t>Onsite remediation of hydrocarbon contaminated soils manual land farming</t>
  </si>
  <si>
    <t>&lt;50m3</t>
  </si>
  <si>
    <t>&gt;50m3 &lt;100m3</t>
  </si>
  <si>
    <t>&gt;500m3</t>
  </si>
  <si>
    <t>Rate</t>
  </si>
  <si>
    <t>Volume</t>
  </si>
  <si>
    <t>Proportion</t>
  </si>
  <si>
    <t>Select Volume</t>
  </si>
  <si>
    <t>Determine Rate based on volume of soil (Drop down box)</t>
  </si>
  <si>
    <t>&gt;100m3 &lt;500m3</t>
  </si>
  <si>
    <t>Prepare exposed area for revegetation</t>
  </si>
  <si>
    <t xml:space="preserve">The cost for this activity will need to be determined by the proponent for each ventilation fan.  The work should include the full removal and disposal of all associated equipment. </t>
  </si>
  <si>
    <t xml:space="preserve">The cost for this activity will need to be determined by the proponent for equipment ancilliary to the underground operation.  The work should include the full removal and disposal of all associated equipment. </t>
  </si>
  <si>
    <t xml:space="preserve">The Sealing of Portals and Adits including the shaping of land forms </t>
  </si>
  <si>
    <t>Topsoil Preparation and Revegetation of Mine Area</t>
  </si>
  <si>
    <t>Other Activities in relation to the Underground Mine Area</t>
  </si>
  <si>
    <t>Removal of Headframes, Ventilation Fans and Structures over Openings</t>
  </si>
  <si>
    <t>Topsoil Preparation and Revegetation of Main Exploration Area.</t>
  </si>
  <si>
    <t xml:space="preserve">Removal and disposal of Shaft Head Frame(s) </t>
  </si>
  <si>
    <t>The nature and means of disposal and where that might be on site if approved</t>
  </si>
  <si>
    <t>Total Rehabilitation Liability for the Admin and Accommodation Area</t>
  </si>
  <si>
    <t xml:space="preserve">No savlageable value is attributed to any item </t>
  </si>
  <si>
    <t>It is assumed suitable cover and topsoil is available nearby.</t>
  </si>
  <si>
    <t>This Component covers ancillary areas such as Industrial buildings, workshops, laydown areas, equipment depots and any other area spearate from the Processing Plant, Offices and Camp Accomodation.</t>
  </si>
  <si>
    <t>Total Rehabilitation Liability for Ancillary Areas</t>
  </si>
  <si>
    <r>
      <t xml:space="preserve">Describe in general terms  the proposed methodology for rehabilitating this component of the mine.  The activities associated with this methodology form the basis for the determination of the rehabilitation liability in the workings below. </t>
    </r>
    <r>
      <rPr>
        <b/>
        <sz val="11"/>
        <color rgb="FFFF0000"/>
        <rFont val="Calibri"/>
        <family val="2"/>
        <scheme val="minor"/>
      </rPr>
      <t xml:space="preserve"> (Proponents can add to any existing descriptions.)</t>
    </r>
  </si>
  <si>
    <t>Tenement Holder:</t>
  </si>
  <si>
    <t>Land Owner:</t>
  </si>
  <si>
    <t>Design/Quantify/Survey of Tailings Dam to confirm appropriate Cover Specifications</t>
  </si>
  <si>
    <t>Demolish and remove concrete pads and footings - assumes reinforced concrete slab max 300 mm thick</t>
  </si>
  <si>
    <t>Minor earthworks (e.g. grading, shaping). Applies where the quantity is less than 500 m2.</t>
  </si>
  <si>
    <t>Minor Shaping across a Dump or Disturbed Area</t>
  </si>
  <si>
    <t xml:space="preserve">Construction of a 6' chain mesh security fience around the perimeter </t>
  </si>
  <si>
    <t>Monitoring (Mining Operations free of Sulphides and Radioactive materials)</t>
  </si>
  <si>
    <t>Monitoring (Radioactive Materials - but not Sulphidic Materials)</t>
  </si>
  <si>
    <t>Monitoring (Mining Operations mining Sulphidic Materials)</t>
  </si>
  <si>
    <t>Third Party Rehabilitation Project Management</t>
  </si>
  <si>
    <t xml:space="preserve">Demolition of tanks (leach, flotation, thickners, etc) associated with the Production Process </t>
  </si>
  <si>
    <t>Demolish and Removal of Pipework - Plastic (Borefields, tailing facilities, etc)</t>
  </si>
  <si>
    <t>m</t>
  </si>
  <si>
    <t xml:space="preserve">Excavation of contaminated materials (earthen materials contaminated by metals, hydrocarbons, putrescible waste management etc) </t>
  </si>
  <si>
    <t>Scarification and ripping of Haul and Access Roads</t>
  </si>
  <si>
    <t>lin m</t>
  </si>
  <si>
    <t>MLD</t>
  </si>
  <si>
    <t>Items</t>
  </si>
  <si>
    <t>Deep Ripping of Hardstand area for Rehabilitation</t>
  </si>
  <si>
    <t>Minor Earthworks to Rehabilitate Drill Pads and other such areas (Generally &lt;500 m2) including scarification of the reformed land area.</t>
  </si>
  <si>
    <t>Backfill, Cap and Seal Drill Holes  (Backfill hole with cuttings etc, cut off below ground level and seal the top of the hole before covering with soil and burying any remaining cuttings)</t>
  </si>
  <si>
    <t xml:space="preserve">Sealing of Small Shafts and Adits </t>
  </si>
  <si>
    <t>month</t>
  </si>
  <si>
    <t>Hour</t>
  </si>
  <si>
    <t>Removal of low/medium voltage powerlines including disconnection</t>
  </si>
  <si>
    <t>Removal of power lines on tower or lattice structures (this includes disconnection, rolling up the wires and removing the structures)</t>
  </si>
  <si>
    <t>Purchase and installation of HDPE liner</t>
  </si>
  <si>
    <t>Construction of lined silt traps/evaporation ponds. (Excludes spillway construction and armouring)</t>
  </si>
  <si>
    <t>Reinstatement of Bulk Sample pits where material is adjacent to pit</t>
  </si>
  <si>
    <t>$/m3</t>
  </si>
  <si>
    <t>Disconnect and terminate services at remote areas  (i.e., pump stations, remote workshops, sewage treatment plant, etc.)</t>
  </si>
  <si>
    <t>Demolish and remove light industrial buildings - and disposal on-site/locally</t>
  </si>
  <si>
    <t>Demolish and remove industrial buildings and disposal on-site/locally</t>
  </si>
  <si>
    <t>Remove underground pipe and dispose onsite - Various pipe diameter and depths</t>
  </si>
  <si>
    <t>Pipework - demolish and remove above ground pipework - plastic</t>
  </si>
  <si>
    <t>Pipework - demolish and remove above ground pipework - metal</t>
  </si>
  <si>
    <t>Remove rail loop and spur, sleepers, ballast etc. and dispose on-site</t>
  </si>
  <si>
    <t>Remove train loading facilities and dispose on-site</t>
  </si>
  <si>
    <t>Reshape rail spur and load out areas - does not include revegetation</t>
  </si>
  <si>
    <t>Purchase and single application of ground ameliorants (e.g. gypsum)</t>
  </si>
  <si>
    <t>The purchase only of non-native pasture grasses</t>
  </si>
  <si>
    <t>The purchase only of general native seed mix</t>
  </si>
  <si>
    <t>The purchase only of local provenance native seed mix</t>
  </si>
  <si>
    <t>The purchase only of fertiliser for broadcast application</t>
  </si>
  <si>
    <t>The purchase of native tubestock (including slow release fertiliser)</t>
  </si>
  <si>
    <t>Direct seeding along rip line or mechanical broadcast seeding</t>
  </si>
  <si>
    <t>A1108</t>
  </si>
  <si>
    <t>Planting of tubestock &lt;15cm (assumes 1,000 plants per hectare)</t>
  </si>
  <si>
    <t>A1109</t>
  </si>
  <si>
    <t>A1110</t>
  </si>
  <si>
    <t>A1111</t>
  </si>
  <si>
    <t>Mobilisation and Demobilisation of Mobile Plant or Fixed Plant &lt; 30 Tonne Load</t>
  </si>
  <si>
    <t>A1112</t>
  </si>
  <si>
    <t>Mobilisation and Demobilisation of Mobile Plant or Fixed Plant - 30 to 40 Tonne Load</t>
  </si>
  <si>
    <t>A1113</t>
  </si>
  <si>
    <t>Mobilisation and Demobilisation of Mobile Plant or Fixed Plant &gt; 40 Tonne Load</t>
  </si>
  <si>
    <t>A1114</t>
  </si>
  <si>
    <t>Load, cart and dispose of High Level contaminated material off site to licenced landfill</t>
  </si>
  <si>
    <t>A1115</t>
  </si>
  <si>
    <t>Load, cart and dispose of Low Level contaminated material off site to licenced landfill</t>
  </si>
  <si>
    <t>A1116</t>
  </si>
  <si>
    <t>A1117</t>
  </si>
  <si>
    <t>A1118</t>
  </si>
  <si>
    <t>Remove ventilation fans (excluding underground infrastructure)</t>
  </si>
  <si>
    <t>A1119</t>
  </si>
  <si>
    <t>Seal access and ventilation shafts, including backfill above seal with 2 m earthen material</t>
  </si>
  <si>
    <t>A1120</t>
  </si>
  <si>
    <t>Remove access shaft lift and superstructure (not exceeding 50 tonnes) (excluding removal of in-shaft components)</t>
  </si>
  <si>
    <t>Application for Activity</t>
  </si>
  <si>
    <t>The sum covers the design and specification of the cover thickness and the surveying of the storage facility.  It covers the equivalent of approximately 50 to 60 hours of professional surveying, engineering and laboratory work involved when a third party is required to determine the specification of a cover for a tailing storage facility.</t>
  </si>
  <si>
    <t>This activity is to provide for an engineering assessment of the structure and stability of any water retaining structures (excluding minor sediment traps,etc.) to ensure that they are of suitable capacity to withstand any flood event, with a wall of sufficient size and stable enough to hold any such event and with a spillway that is of sufficient capacity and design stabiltiy to handle any potential water flows.</t>
  </si>
  <si>
    <t xml:space="preserve">The sum covers the demolition and removal of a pumping station and associated equipment </t>
  </si>
  <si>
    <t>This unit cost covers the use of a dozer to push material within reasonable confines to achieve a Final Land Form.  It is often undertaken prior to covering a tailing storage facility</t>
  </si>
  <si>
    <t xml:space="preserve">This activity involves the spreading of material that has been transported and dumped at the work area. </t>
  </si>
  <si>
    <t>This calculation prices the cost of hauling materials over a distance</t>
  </si>
  <si>
    <t xml:space="preserve">This activity is undertaken in preparation for the seeding of a particular area.  </t>
  </si>
  <si>
    <t>This activity involves the construction of a stock proof fence to protect revegetation against stock and to provide an obstacle to persons to prevent inadvertant access.  It is not designed to prevent a person climbing over it.  It includes an allowance for gates.</t>
  </si>
  <si>
    <t>This activity covers the sourcing of topsoil or suitable growth medium, transporting from the source to the required area and then spreading it over that area.</t>
  </si>
  <si>
    <t>This activity covers the removal of small stockpiles of waste rock, ROM ore and other stockpiles.  These are consolidated into one waste dump for rehabilitation.</t>
  </si>
  <si>
    <t>The activity covers the construction of a Berm or Barrier to prevent access.  The Barrier is designed to prevent vehicular access and is a significant size to do this.</t>
  </si>
  <si>
    <t>This activity provides a greater degree of stability by 'rolling over' the top face.  It also provides a better visual impact and it is possible to spread soil or overburden material to assist in vegetation growth.  For remote sites it may not necessarily add significant value and should be assessed in regards to pit stability and visual impacts.  Alternatively it may be possible to excavate this material rather than blast.</t>
  </si>
  <si>
    <t>This activity involves the construction of a chain mesh security fence to restrict and prevent access.   It includes an allowance for gates.</t>
  </si>
  <si>
    <t>This Activity includes the monitoring of the rehabilitaiton project for a period of time specified in the Approved Mining Program.  It allows for the cost of site visits, expertise assessment as required, some testing and potentially some redesign to ensure that the final outcome of the rehabilitation provides a long term secure and stable site.  It applies to extractive mines only.</t>
  </si>
  <si>
    <t>This Activity includes the monitoring of the rehabilitaiton project for a period of time specified in the Approved Mining Program.  It allows for the cost of site visits, expertise assessment as required, some testing and potentially some redesign to ensure that the final outcome of the rehabilitation provides a long term secure and stable site.  This applies to mines with no sulphidic  or radioactive materials.</t>
  </si>
  <si>
    <t>This Activity includes the monitoring of the rehabilitaiton project for a period of time specified in the Approved Mining Program.  It allows for the cost of site visits, expertise assessment as required, some testing and potentially some redesign to ensure that the final outcome of the rehabilitation provides a long term secure and stable site.  This applies to mines with some actual or potential radioactive materials, but not sulphidic material..</t>
  </si>
  <si>
    <t>This Activity includes the monitoring of the rehabilitaiton project for a period of time specified in the Approved Mining Program.  It allows for the cost of site visits, expertise assessment as required, some testing and potentially some redesign to ensure that the final outcome of the rehabilitation provides a long term secure and stable site.  This applies to mines mining sulphidic material..</t>
  </si>
  <si>
    <t>This Activity includes disconnecting and terminating all services such as power, water and sewer.  It covers the disconnection costs for an area.  Within a mine site there may be a number of areas which need to have services disconnected.</t>
  </si>
  <si>
    <t>This activity covers the demolition of tanks associated with the production production process.  The costs are based on the tank area and all tanks are included.  (The assumed costs are therefore an average of inground, on ground, elevated, steel and concrete construction)</t>
  </si>
  <si>
    <t>The activity include the demolition and removal of the conveyors and gantries to  site dump.  This does not inlcude the salvaging of the conveyors.  This activity assumes a mixture of ground and overhead conveyors.</t>
  </si>
  <si>
    <t>The activity consists of removing all pipework within the area and disposing of this pipework in an approved dump on the site.  The pipework should be cut up or shredded.  The activity assumes that the pipe is &lt;200mm and is plastic in nature.  If the pipe is very large or steel a separate demolition price should be prepared.  It does not inlcude pipework within a process plant.</t>
  </si>
  <si>
    <t>The activity involves the digging up and removal of bitumen, sprayseal and crushed roadbase to a designated dump on the mine site.</t>
  </si>
  <si>
    <t>Assumes soil sampling at 10 locations and development of up to four groundwater wells and one groundwater monitoring event (GME) per hectare.  Chemical analysis of one soild sample per location and one groundwater sample per well for a standard suite of chemicals (eg heavy metals, selected organics) of potential interest.  Soil sites advance to a maximum of 1 metre below ground level and wells to a maximum depth of 12 metres below ground level.</t>
  </si>
  <si>
    <t>This activity covers the digging up of haul and access roads, loading into a truck and carting to a designated dump site.  It also makes allowance for tiding up the dump site.  A standard width of road is assumed for the purpose of the activity.</t>
  </si>
  <si>
    <t>This activity is specifically minor shaping and for the scarification and where necessary the deep ripping of Haul and Access roads to allow natural re-vegetation to occurr.   It is appropriate for access roads and tracks of a width of 5 metres and of minimal construction.  (Access to drill locations and minor areas) ( For major constructed haul roads  20m in width use A1039)</t>
  </si>
  <si>
    <t>This activity covers the main disconnection of Electrical Power to a small site or in the case of a very large mine a significant portion of the site.  Rate is per power supply connection. Excludes removal. Excludes power to site. (It is not applicable to the disconnection of a building etc)</t>
  </si>
  <si>
    <t>This activity covers the main disconnection of Electrical Power to a small site or in the case of a very large mine a significant portion of the site.  (It is not applicable to the disconnection of a building etc)  The substation including buildings and pads are demolished and any item not salvageable is dumped on the mine site in a designated area.</t>
  </si>
  <si>
    <t>This activity covers the removal of underground electrical cables from a site.  Specifically cables from a sub-station to the plant, to the offices, etc are included in this activity.  It is based on digging up and pulling up the cables and loading onto a truck for disposal either off-site or on site.  It also includes making good the trench where the cables have been pulled.</t>
  </si>
  <si>
    <t xml:space="preserve">This activity covers the demolition and removal of tanks used in either the fresh or waste water treatment plants.  Rate assumes already decommissioned (drained and cleaned ready for demolition). </t>
  </si>
  <si>
    <t xml:space="preserve">This activity covers the removal of both fresh and waste water treatment plants.  Rate is based on plant capacity in megalitres/day. </t>
  </si>
  <si>
    <t>This activity covers the removal of a submersible pump from a bore including the attached downhole piping and can be applied to any bore hole that has specific downhole injection equipment.  The activity makes an allowance for the removal of the power cable from the bore to any well housing.</t>
  </si>
  <si>
    <t xml:space="preserve">This activiity covers the sealing of a bore or a well using a grout.  The assumpiton is that the bore or well is fully grouted to ensure that it is fully sealed. </t>
  </si>
  <si>
    <t>This activity involves the removal and demolition of an above ground pump station used in connection with a borefield and or wellhead injection system. ( It does not include the demolition of a substantial pumping structure or building which will need additional cost estimates)</t>
  </si>
  <si>
    <t>This activity covers the situation when sediments are to be removed from the bottom of a dam either for the dam to continue as a fresh water dam or to remove to a dump site for other treatment.</t>
  </si>
  <si>
    <t>This activity covers the costs of pumping out a dam or water/liquid storage facility prior to demolition.</t>
  </si>
  <si>
    <t>This activity covers the situation when waste and rubbish needs to be fully collected and removed from the site and it is not possible to dispose of it on site.</t>
  </si>
  <si>
    <t>This activity can be applied to drill holes which do not need grouting.  The hole casing is to be  cut off 1 metre below ground level and sealed.  Remaining cuttings are buried by excavating a small scrape adjacent to the cuttings.  The ground is then reshaped over the hole and scraped to allow natural revegetation of the area and removal of all traces of the hole.  Any and all rubbish is to be removed to an approved dump.</t>
  </si>
  <si>
    <t>This activity involves the winning of suitable material, transporting the material to the sample pit, spreading the material and reinstatement of the burrow pit.</t>
  </si>
  <si>
    <t>This activity involves the removal and tidying up of a water storage area prior to bulk movement of material to reinstate the area back to natural surface.  It also includes the removal of any pipes, pumps and other items associated with the use of the dam.  IT is assumed that the liner if present will be cut and folded onto itself in the centre of the dam so that the liner can be buried.</t>
  </si>
  <si>
    <t>This activity provides an allowance for the treatment of water from the Heap leach stockpiles to neutralise the water.  (It is a compromise between dosing for pH adjustment, metals reduciton, cyanide destruction turbidity removal etc)</t>
  </si>
  <si>
    <t>This provides for the capital cost of providing for dosing equipment to treat the run-off from heap leach operaitons while they are being flushed and cleaned out.</t>
  </si>
  <si>
    <t>This activity is the final actiivity for a well or bore.  It involves breaking up and removing of any concrete cap, excavating approximately 1 metres below ground level, cutting the casing off at least 0.5 metres below ground level and backfilling the hole to ground level with fill material and available topsoil.</t>
  </si>
  <si>
    <t>The activity relates specifically to the removal and disposal of trunk pipelines assumed to be plastic in nature but greater than 200 mm in diameter.   The pipework should be cut up or shredded.   If the pipe is very large or steel a separate demolition price should be prepared.  It does not inlcude pipework within a process plant.</t>
  </si>
  <si>
    <t>The activity relates specifically to the activity of preparing a transportable unit for demolition and/or transport off-site.  Activities such as the disconnection of verandahs, walkways, airconditioners and other add-ons.  Larger buildings may need to be split into transportable units.  The unit should then be ready to lift onto a truck to transport off-site.</t>
  </si>
  <si>
    <t xml:space="preserve">This activity covers the situation when it is necessary to construct a wall to seal a Portal - seal with 200mm reinforced concrete blocks. (Based on cross sectional area of portal opening. Excludes placement of rock/earthen material. Assumes no significant future head of water within workings above seal) </t>
  </si>
  <si>
    <t>This Activity includes disconnecting and terminating all services such as power, water and sewer.  It covers the disconnection cost per unit and is applicable to camp, office or other individual units.</t>
  </si>
  <si>
    <t>This Activity covers the demolition of Well houses and Filter Skids associated with a wellfield.  Demolition of both the wellhouse and filter skid is included in the Activity.  The Activity covers the demolition of any minor buildings, the cutting up of the components of the wellhouse and Filter Skid, the transporting of the contents to a Low Level Radioactive Waste  (LLRW) dump and the dumping of the contents in the dump.  (It assumes that the distance is within 10 -20 kms of the wellfield allowing a truck to complete the dumping within the time it takes to demolish the wellhouse.  The item number reflects the number of wellhouses including filter skids to be demolished.</t>
  </si>
  <si>
    <t>Activity includes the removal of low/medium voltage powerlines including disconnection, rolling up the wires and removing the poles - Applies to power lines on stobie, concrete or similar poles.
Does not include the removal of substations</t>
  </si>
  <si>
    <t>Removal of power lines on tower or lattice structures (this includes disconnection, rolling up the wires and removing the structures) - Applies to power lines on steel tower and steel lattice structures assuming 3 towers / km.
Does not include the removal of substations</t>
  </si>
  <si>
    <t>Activity covers the purchase and installation of a HDPE liner for applications such as dams, leach pads, sumps etc (120m2 per hour)</t>
  </si>
  <si>
    <t>Activity includes the simple replacement of material into adjacent pit excavated for bulk sample purposes.</t>
  </si>
  <si>
    <t>For disconnection of all services, at building boundaries, physical cut at the point of attachment or distribution location.  If infrastructure is not consolidated (i.e., administration, camp and workshops are in separate places), consider multiple disconnection fees.</t>
  </si>
  <si>
    <t>Needs to be calculated per floor/level (Assume 1 floor/level = 3-4 m) - does not include transport to regional disposal facility or equivalent.</t>
  </si>
  <si>
    <t>Varying rates -
300 mm pipes at 500mm depth
500mm pipes at 1m depth
1,000mm pipes at 2m depth</t>
  </si>
  <si>
    <t>Cut plastic pipes into 3m lengths, load into semi trailer and transport to onsite dump.</t>
  </si>
  <si>
    <t>Cut metal pipes into 3m lengths, load into semi trailer with excavator and transport to onsite dump for  pipe diameters &lt;200mm &amp; &gt;200mm.</t>
  </si>
  <si>
    <t>This activity covers the demolition and removal of track, sleepers &amp; ballast removal only and disposal on site. (Excludes decommissioning, signalling, OHL, earthworks, bridges, junctions and level crossings).  All materials removed to allow area to be reshaped and rehabilitated - does not include transport and disposal costs to approved disposal facility.</t>
  </si>
  <si>
    <t>This activity includes the removal of rail loading infrastructure including gantries and control structures and disposal on site - does not include transport and disposal costs to approved disposal facility.</t>
  </si>
  <si>
    <t>This activity includes the levelling and shaping of the disturbed rail corridor by D11 Dozer and the final shaping by grader.</t>
  </si>
  <si>
    <t>This Activity includes the purchase and single application of ground ameliorants (e.g. gypsum).</t>
  </si>
  <si>
    <t>This activity covers the purchase of non-native pasture grasses</t>
  </si>
  <si>
    <t>This activity covers the purchase of general native seed mix</t>
  </si>
  <si>
    <t>This activity covers the purchase of local provenance native seed mix</t>
  </si>
  <si>
    <t>This activity covers the purchase of local fertiliser for broadcast application.  It does not inlcude the application.</t>
  </si>
  <si>
    <t>The Activity includes the purchase of native tubestock (including slow release fertiliser).  It does not include planting.</t>
  </si>
  <si>
    <t>Sowing of separately purchased seed and or fertiliser for broadcast application that involves scattering seed, by hand or mechanically, over a relatively large area.</t>
  </si>
  <si>
    <t>Hydromulching planting process that uses a slurry of seed and mulch. It is often used as an erosion control technique as an alternative to the traditional process of broadcasting or sowing dry seed.</t>
  </si>
  <si>
    <t>This Activity covers the hand planting of tubestock plants across a broad area.</t>
  </si>
  <si>
    <t>Spreading of contaminated soils on a prepared surface and stimulation of aerobic microbial activity within the soils through aeration and/or the addition of minerals, nutrients and moisture to promote the aerobic degradation of organic chemicals - time frame of up to 24 months.</t>
  </si>
  <si>
    <t>This activity returns the cost of transporting fixed or mobile plant to site and return.  Includes the cost of pilot vehicles as required based on the size and weight of the load.</t>
  </si>
  <si>
    <t>Load, cart and dispose of High Level contaminated material off site to licenced landfill. Assumes loading of semi trailer on site, cartage to a licenced landfill and payment of dump costs.</t>
  </si>
  <si>
    <t>Load, cart and dispose of Low Level contaminated material off site to licenced landfill. Assumes loading of semi trailer on site, cartage to a licenced landfill and payment of dump costs.</t>
  </si>
  <si>
    <t>This Activity includes the closure of access to ventilation shafts including the installation of a reinforced concrete slab and earthen cover.</t>
  </si>
  <si>
    <t xml:space="preserve">Rate excludes removal of in-shaft components. </t>
  </si>
  <si>
    <t>This item covers the cost of a third party called in to determine the extent of work required and to assess the methodology to complete the work and any other design or planning activities required.</t>
  </si>
  <si>
    <t>Excavation of pit on site for the onsite Burial and Disposal of Equipment and Waste.  The costs include excavation, depositing of the waste, and the covering.</t>
  </si>
  <si>
    <t>Hydromulching (does not include seed or fertiliser)</t>
  </si>
  <si>
    <t>Removal and Reinstatement of Dams and Water Storage Facilities</t>
  </si>
  <si>
    <t xml:space="preserve">Transport costs associated with Transportable buildings and containers </t>
  </si>
  <si>
    <t>/km/Item</t>
  </si>
  <si>
    <t>This activity covers the transport costs of removing transportable buildings and/or containers.  It covers the transport distances for activity A1054.</t>
  </si>
  <si>
    <t>Transport rate per km</t>
  </si>
  <si>
    <t>Removal of Transportable Buildings and/or Containers - Loading &amp; Transport Cost</t>
  </si>
  <si>
    <t xml:space="preserve">Loading Cost </t>
  </si>
  <si>
    <r>
      <t xml:space="preserve">The 'Default Rates' have been determined as those rates the Government could expect from a third party contractor or supplier to undertake the nominated work.  </t>
    </r>
    <r>
      <rPr>
        <sz val="11"/>
        <color rgb="FFFF0000"/>
        <rFont val="Calibri"/>
        <family val="2"/>
        <scheme val="minor"/>
      </rPr>
      <t>If the miner proposes to use an alternative unit rate an explanation should be provided and it needs to be understood that DEM Mining Regulation is not obliged to accept the alternative rates.</t>
    </r>
  </si>
  <si>
    <r>
      <t xml:space="preserve">The 'Default Rates' have been determined as those rates the Government could expect from a third party contractor or supplier to undertake the nominated work. </t>
    </r>
    <r>
      <rPr>
        <sz val="11"/>
        <color rgb="FFFF0000"/>
        <rFont val="Calibri"/>
        <family val="2"/>
        <scheme val="minor"/>
      </rPr>
      <t xml:space="preserve"> If the miner proposes to use an alternative unit rate an explanation should be provided and it needs to be understood that DEM Mining Regulation is not obliged to accept the alternative rates.</t>
    </r>
  </si>
  <si>
    <r>
      <t>The 'Default Rates' have been determined as those rates the Government could expect from a third party contractor or supplier to undertake the nominated work.  I</t>
    </r>
    <r>
      <rPr>
        <sz val="11"/>
        <color rgb="FFFF0000"/>
        <rFont val="Calibri"/>
        <family val="2"/>
        <scheme val="minor"/>
      </rPr>
      <t>f the miner proposes to use an alternative unit rate an explanation should be provided and it needs to be understood that DEM Mining Regulation is not obliged to accept the alternative rates.</t>
    </r>
  </si>
  <si>
    <r>
      <t>The 'Default Rates' have been determined as those rates the Government could expect from a third party contractor or supplier to undertake the nominated work.</t>
    </r>
    <r>
      <rPr>
        <sz val="11"/>
        <color rgb="FFFF0000"/>
        <rFont val="Calibri"/>
        <family val="2"/>
        <scheme val="minor"/>
      </rPr>
      <t xml:space="preserve">  If the miner proposes to use an alternative unit rate an explanation should be provided and it needs to be understood that DEM Mining Regulation is not obliged to accept the alternative rates.</t>
    </r>
  </si>
  <si>
    <t>Removal and disposal of Ventilation Fans</t>
  </si>
  <si>
    <t>Disconnection of Services to Area</t>
  </si>
  <si>
    <t>Total Rehabilitation Liability for the Underground Mine Area</t>
  </si>
  <si>
    <t>This component provides the opportunity to estimate the rehabilitation liability arising from underground operations.  The rehabilitation liability is based on the cost to remove the equipment associated with the underground mine operation and to seal the shafts, portals and other openings in a permanent manner that will prevent inadvertent access into the future.</t>
  </si>
  <si>
    <t>This component provides the opportunity to estimate the rehabilitation liability arising from exploration operations.  The rehabilitation liability is based on the cost to remove the equipment and infrastructure associated with the exploration activity and to reinstate all inground exploratory activities.</t>
  </si>
  <si>
    <t>Simple Design</t>
  </si>
  <si>
    <t>Complex Design</t>
  </si>
  <si>
    <t>Large &amp; Complex Design</t>
  </si>
  <si>
    <t>Medium Design</t>
  </si>
  <si>
    <t>Determine the design required based on compexity of  works</t>
  </si>
  <si>
    <t>Determine the design required based on compexity of WRD</t>
  </si>
  <si>
    <t>Simple WRD</t>
  </si>
  <si>
    <t>Large &amp; Complex WRD</t>
  </si>
  <si>
    <t>The extent of revegetation required and availability of suitable material</t>
  </si>
  <si>
    <t>WRD 2</t>
  </si>
  <si>
    <t>WRD 1</t>
  </si>
  <si>
    <t>WRD 3</t>
  </si>
  <si>
    <t>Demolition of process plant including superstructure and removal to designated onsite dump sitesite (Add all levels of structure in total area).</t>
  </si>
  <si>
    <t>This assumes material can be removed to an approved dump on the mine site.  If such material needs to be transported off site, a separate quotation should be obtained for this activity.</t>
  </si>
  <si>
    <t>&gt;50 &lt;100m3</t>
  </si>
  <si>
    <t>Select Range</t>
  </si>
  <si>
    <t>Determine volume of contaminated soils to be treated</t>
  </si>
  <si>
    <t>Multiple</t>
  </si>
  <si>
    <t>Sourcing of suitable cover material  and carting to the pit</t>
  </si>
  <si>
    <t>Design/Quantify/Survey Rehabilitation Structures to Specification Standard</t>
  </si>
  <si>
    <t>Load and haul of mined, processed, stockpiled materials or topsoil</t>
  </si>
  <si>
    <t>This activity involves loading into a truck of material previously mined, processed material or topsoil, and hauling a selected distance.</t>
  </si>
  <si>
    <t>Load and Remove Rubbish and/or waste from the site to an external dump</t>
  </si>
  <si>
    <t>Select the Distance to Transport Rubbish. (Kilometres)</t>
  </si>
  <si>
    <t>Select the Distance to Transport the Buildings (Kilometres)</t>
  </si>
  <si>
    <t>The sealing of a shaft or adit with loose material or rock fill</t>
  </si>
  <si>
    <t xml:space="preserve">This activity covers the sealing of a shaft using loose material or rock fill.  The assumption is that the whole of the shaft is to be filled, or section of the adit, with suitable material or rock fill.  The activity consists of sourcing material, carting a distance (defined), dumping the material adjacent to the shaft and pushing the material into the shaft.  </t>
  </si>
  <si>
    <t>Cost of material won for backfilling a shaft or adit</t>
  </si>
  <si>
    <t>Excavation of contaminated materials</t>
  </si>
  <si>
    <t>This sum covers the characterisation of the heap, determining the extent of flushing required to neutralise the heap and design of the cover thickness for the facility. The activity includes professional assessment, engineering and laboratory work required to develop an appropriate management plan.</t>
  </si>
  <si>
    <t xml:space="preserve">Treatment of water from Heap Leach stockpiles to neutralise water </t>
  </si>
  <si>
    <t>Months</t>
  </si>
  <si>
    <t>Topsoil Preparation and Revegetation of Heap Leach Facility</t>
  </si>
  <si>
    <t>Other Activity in Heap Leach Facility Specific to this Operation</t>
  </si>
  <si>
    <t>There is a need to specify the volume in ML of water that will be pumped per month</t>
  </si>
  <si>
    <t>Assessment of remaining chemicals in heap leach pads</t>
  </si>
  <si>
    <t>Assessment of total flusing required to neutralise the heap leach pads</t>
  </si>
  <si>
    <t>Potenial cover required for heap leach pad</t>
  </si>
  <si>
    <t>TSF 1</t>
  </si>
  <si>
    <t>TSF 2</t>
  </si>
  <si>
    <t>TSF 3</t>
  </si>
  <si>
    <t>HLF 1</t>
  </si>
  <si>
    <t>HLF 2</t>
  </si>
  <si>
    <t>Other Activity in Admin &amp; Accommodation Area Specific to this Operation</t>
  </si>
  <si>
    <t>A1121</t>
  </si>
  <si>
    <t>A1122</t>
  </si>
  <si>
    <t>Demolition and Removal of Rail Infrastructure</t>
  </si>
  <si>
    <t>Earthworks Along the Rail Corridor</t>
  </si>
  <si>
    <t>Total Rehabilitation Liability for Rail Facilities</t>
  </si>
  <si>
    <t>All Borrow Pits</t>
  </si>
  <si>
    <t>Borrow Pits</t>
  </si>
  <si>
    <t>This Component cover the rehabilitation of Borrow Pits ancillary to operations that have provided necessary materials require for the construction of facilities associated with the operation.
Calculations for all Borrow Pits to be combined.</t>
  </si>
  <si>
    <t>Pit may or may not remain open beyond the mining activity</t>
  </si>
  <si>
    <t>Any remaining stockpiles to be returned to the pit</t>
  </si>
  <si>
    <t xml:space="preserve">Total for Borrow Pits: </t>
  </si>
  <si>
    <r>
      <t xml:space="preserve">This activity covers the removal of overhead wires and/or cables from the mine site.  It includes pulling down of the wire rolling it up and removing both from the site.  </t>
    </r>
    <r>
      <rPr>
        <b/>
        <sz val="11"/>
        <color theme="1"/>
        <rFont val="Calibri"/>
        <family val="2"/>
        <scheme val="minor"/>
      </rPr>
      <t>This does not cover the main high voltage lines from the power authority.</t>
    </r>
  </si>
  <si>
    <t>Treatment of Dams and Water Storage Facilities that are to be retained on site post mining.</t>
  </si>
  <si>
    <t>Cost of Sourcing, Carting and Spreading of Topsoil</t>
  </si>
  <si>
    <t xml:space="preserve">Excavation of earthen materials from local borrow pits, plus haulage </t>
  </si>
  <si>
    <t>This activity involves the excavation of earthern material from a local borrow pit and the loading of that material into a truck.  Haulage cost based on distance hauled.</t>
  </si>
  <si>
    <t>Cost of Material dug from borrow pit</t>
  </si>
  <si>
    <t>No. of</t>
  </si>
  <si>
    <t>The Grouting and Rehabilitation of Individual Wells - 150mm Diameter (including the removal of spiderlines, signal wires and breaking backfilling to surface level)</t>
  </si>
  <si>
    <t>The Grouting and Rehabilitation of Individual Wells - 125mm Diameter (including the removal of spiderlines, signal wires and breaking backfilling to surface level)</t>
  </si>
  <si>
    <t>The Grouting and Rehabilitation of Individual Wells - 100mm Diameter (including the removal of spiderlines, signal wires and breaking backfilling to surface level)</t>
  </si>
  <si>
    <t xml:space="preserve">Equipment Mobilisation &amp; Demobilisation </t>
  </si>
  <si>
    <t>Sub-Total of In-Direct Costs</t>
  </si>
  <si>
    <t>Equipment Mobilisation &amp; Demobilisation</t>
  </si>
  <si>
    <t>Identify equipment to be used for multiple Activities</t>
  </si>
  <si>
    <t>Include all equipment required to complete the works for each Activity</t>
  </si>
  <si>
    <t xml:space="preserve">This activity covers the demolition of industrial and other buildings (up to 5 levels) on the site that are not salvageable or removed from the site.  The buildings are demolished and transported to a designated dump on the mine site. </t>
  </si>
  <si>
    <t xml:space="preserve">This activity covers minor shaping shifting pushing across a dump or disturbed area.  It is based on a rate per hectare.  It covers area where there needs to be some clearing work, tidying up of disturbed ground,  but not just bulk pushing </t>
  </si>
  <si>
    <t>Includes the design and construction of suitable surface water capture structures.  Assumes no overflow - where overflow is designed into the structure, separate spillway construction and armouring costs to be applied.</t>
  </si>
  <si>
    <t>Include equipment used in all components</t>
  </si>
  <si>
    <t>Enter transport distance</t>
  </si>
  <si>
    <t xml:space="preserve">List each item of equipment requiring mobilisation and demobilisation - 
&lt; 30 tonne </t>
  </si>
  <si>
    <t xml:space="preserve">List each item of equipment requiring mobilisation and demobilisation - 
30 to 40 tonne </t>
  </si>
  <si>
    <t>List each item of equipment requiring mobilisation and demobilisation - 
&gt; 40 tonne</t>
  </si>
  <si>
    <t>Some equipment will be used for multiple activites.</t>
  </si>
  <si>
    <t>Total for Mobilisation and Demobilisation of Mobile or Fixed Plant:</t>
  </si>
  <si>
    <t>Mobilisation &amp; Demobilisation of equipment used in the rehabilitation of the site</t>
  </si>
  <si>
    <t>Other Activites Required</t>
  </si>
  <si>
    <t>Complete update of calculator</t>
  </si>
  <si>
    <t>Comprehensive review of calcualtor.  Updated activity rates, additional activities and project components.</t>
  </si>
  <si>
    <r>
      <t xml:space="preserve">The Calculator is a general tool which identifies a range of work processes relating to rehabilitation of mining and exploration sites.  The calculator is made available by DEM Mining Regulation to assist Operators in the calculation of a rehabilitation liability assessment.  Rehabilitation liability assessments are used in the determination of rehabilitation bonds required to be lodged pursuant to the </t>
    </r>
    <r>
      <rPr>
        <i/>
        <sz val="11"/>
        <color theme="1"/>
        <rFont val="Calibri"/>
        <family val="2"/>
        <scheme val="minor"/>
      </rPr>
      <t>Mining Act 1971.</t>
    </r>
  </si>
  <si>
    <r>
      <t xml:space="preserve">In relation to any rehabilitation liability assessment submitted to DEM </t>
    </r>
    <r>
      <rPr>
        <i/>
        <sz val="11"/>
        <color theme="1"/>
        <rFont val="Calibri"/>
        <family val="2"/>
        <scheme val="minor"/>
      </rPr>
      <t>Mining Regulation</t>
    </r>
    <r>
      <rPr>
        <sz val="11"/>
        <color theme="1"/>
        <rFont val="Calibri"/>
        <family val="2"/>
        <scheme val="minor"/>
      </rPr>
      <t>, by an Operator, DEM reserves the right to review the accuracy of the information entered by the Operator and/or the calculation derived by use of the Calculator.</t>
    </r>
  </si>
  <si>
    <t>DEM Mining Regulation may, at its discretion, apply third party rates higher than those in the Calculator, when assessing rehabilitation liability.</t>
  </si>
  <si>
    <r>
      <t xml:space="preserve">The actual costs of current and future rehabilitation required to be undertaken by the Operator may be more or less than the calculation derived by use of the Calculator or the amount of bond determined by DEM, </t>
    </r>
    <r>
      <rPr>
        <i/>
        <sz val="11"/>
        <color theme="1"/>
        <rFont val="Calibri"/>
        <family val="2"/>
        <scheme val="minor"/>
      </rPr>
      <t>Mining Regulation</t>
    </r>
    <r>
      <rPr>
        <sz val="11"/>
        <color theme="1"/>
        <rFont val="Calibri"/>
        <family val="2"/>
        <scheme val="minor"/>
      </rPr>
      <t>.  The Operator must make their own independent investigations, review and analysis and obtain independent advice before taking any action on the basis of any calculation derived by the use of the Calculator.</t>
    </r>
  </si>
  <si>
    <t>Where any law implies a condition or warranty into the use by an Operator of this Calculator which may not be lawfully excluded then to the maximum extent permitted by law, liability of DEM, the Minister for Energy and Mining and the Government of South Australia for breach of the condition or warranty will be limited at its election to:</t>
  </si>
  <si>
    <t>payment of the costs of having the services suppliesd again.</t>
  </si>
  <si>
    <t>Mining Regulation - A division within the Department for Energy and Mining</t>
  </si>
  <si>
    <t>Applies to very small areas.</t>
  </si>
  <si>
    <t>Total for the Waste Dump (2)</t>
  </si>
  <si>
    <t>Total for the Waste Dump (3)</t>
  </si>
  <si>
    <t>Total Rehabilitation Liability for Processing Facilities</t>
  </si>
  <si>
    <t>Topsoil Preparation and Revegetation of Processing Plant Area</t>
  </si>
  <si>
    <t>Total Rehabilitation Liability for the Tailings Storage Facility (1)</t>
  </si>
  <si>
    <t>Total Rehabilitation Liability for the Tailings Storage Facility (2)</t>
  </si>
  <si>
    <t>Total Rehabilitation Liability for the Tailings Storage Facility (3)</t>
  </si>
  <si>
    <t>Total Rehabilitation Liability for the Heap Leach Facility (1)</t>
  </si>
  <si>
    <t>Total Rehabilitation Liability for the Heap Leach Facility (2)</t>
  </si>
  <si>
    <t>This Component covers rail lines, spurs, sleepers, ballast, loading facilites, and any associated buildings and infrastructure</t>
  </si>
  <si>
    <t>Semi Trailer Transport Costs of Waste to External Dump</t>
  </si>
  <si>
    <t>Waste Loading &amp; Gate Fee Costs</t>
  </si>
  <si>
    <t>High Level Contaminated Load &amp; Dump Fee</t>
  </si>
  <si>
    <t>Low Level Contaminated Load &amp; Dump Fee</t>
  </si>
  <si>
    <t>Load, Cart &amp; Dump Fee</t>
  </si>
  <si>
    <t>Determine the Distance to Transport Rubbish (km)</t>
  </si>
  <si>
    <t>Plant Mob &amp; Demob</t>
  </si>
  <si>
    <t>Plamt Mob &amp; Demob</t>
  </si>
  <si>
    <t>This activity covers the minor earthworks required to rehabilitate exploration drill pads and other minor (&lt;500 m2) in often remote areas separate from the main mining operations and includes scarifying of the area to promote re-vegetation.</t>
  </si>
  <si>
    <t>This activity provides for the re-establishment of the pipework and pumping facilities to enable the flushing of a heap leach stockpile prior to reshaping and abandonment.  It assumes that much of the pipework is still present but provides for additional piping and work</t>
  </si>
  <si>
    <t>Purpose of the Calculator</t>
  </si>
  <si>
    <t>The Calculator assists in the determination of the value of the sum of the bond.</t>
  </si>
  <si>
    <t>This page provides the summary of the assessment of the  liability for the mine based on the individual components. (There are no user inputs on this page)</t>
  </si>
  <si>
    <t>Provide the rehabilitation summary for each component</t>
  </si>
  <si>
    <t>Provide an explanation/comments to support the details provided</t>
  </si>
  <si>
    <t>The predetermined costs are based on a third party estimate for such an activity.  The option exists for users to add in an 'Alternative Unit Rate' .  If an alternative rate is added by a user it will be used by the program to calculate the cost in preference to the pre-set rate.  Note: Justification for the alternate rate is to be provided.</t>
  </si>
  <si>
    <t>The User is encouraged to provide supporting details on the determinatiion of the units for each activity.  These details can be provided in worksheet "Calculations".  The final units can then be linked to the individual component worksheet.</t>
  </si>
  <si>
    <t>South Australian Rehabilitation Liability Estimation Calculator</t>
  </si>
  <si>
    <t>Not withstanding any other statement or notice, copyright in the Calculator is owned by the Government of South Australia</t>
  </si>
  <si>
    <r>
      <t>The Calculator may only be used for the purposes described in these terms and conditions. If any person wishes to use or modify the Calculator in any way whatsoever other than for the Calculator's original intended use and purpose permission must be sought from the Department for Energy and Mining (DEM),</t>
    </r>
    <r>
      <rPr>
        <i/>
        <sz val="11"/>
        <color theme="1"/>
        <rFont val="Calibri"/>
        <family val="2"/>
        <scheme val="minor"/>
      </rPr>
      <t xml:space="preserve"> Mining Regulation</t>
    </r>
    <r>
      <rPr>
        <sz val="11"/>
        <color theme="1"/>
        <rFont val="Calibri"/>
        <family val="2"/>
        <scheme val="minor"/>
      </rPr>
      <t>.</t>
    </r>
  </si>
  <si>
    <t>excludes any representation or warranty (expressed or implied) as to the accuracy, reliability, completeness, quality, performance or fitness for any purpose of the Calculator or any information it contains or any calculation derived by use of the Calculator; and</t>
  </si>
  <si>
    <t>incapable of being processed on your equipment or systems; or</t>
  </si>
  <si>
    <t>any computer virus or other harmful code contained in or arising from access to or use of the Calculator, or any damage to or interference with any data, software or hardware arising from access to or use of the Calculator.</t>
  </si>
  <si>
    <t>DEM  - Department for Energy and Mining</t>
  </si>
  <si>
    <t>Calculator - South Australian Rehabilitation Liability Estimation Calculator</t>
  </si>
  <si>
    <t>Added Activity A1005 to PC 3 plus minor wording changes</t>
  </si>
  <si>
    <t>PC 3 worksheets</t>
  </si>
  <si>
    <t>Added A1005 to provide additional flexibiklity to PC 3 worksheets.  Minor wording changes throughout.</t>
  </si>
  <si>
    <t>A brief explanation is provided for each of the worksheets in the Calculator.</t>
  </si>
  <si>
    <t>Components of the Calculator</t>
  </si>
  <si>
    <t>Category</t>
  </si>
  <si>
    <t>Scarification to promote vegetation growth</t>
  </si>
  <si>
    <t>SA Rehabilitation Liability Estimation Calculator</t>
  </si>
  <si>
    <r>
      <t xml:space="preserve">The 'Default Rates' have been determined as those rates the Government could expect from a third party contractor or supplier to undertake the nominated work.  </t>
    </r>
    <r>
      <rPr>
        <b/>
        <sz val="11"/>
        <color rgb="FFFF0000"/>
        <rFont val="Calibri"/>
        <family val="2"/>
        <scheme val="minor"/>
      </rPr>
      <t>If the miner proposes to use an alternative unit rate an explanation should be provided and it needs to be understood that DEM Mining Regulation is not obliged to accept the alternative rates.</t>
    </r>
  </si>
  <si>
    <t>MOBILISATION &amp; DEMOBILISATION - EQUIPMENT WEIGHTS</t>
  </si>
  <si>
    <t>Determine number of each equipment type required to complete each rehabilitation activity across the site, then number and size of loads to transport</t>
  </si>
  <si>
    <t>PC1</t>
  </si>
  <si>
    <t>PC2</t>
  </si>
  <si>
    <t>PC3</t>
  </si>
  <si>
    <t>PC4</t>
  </si>
  <si>
    <t>PC5</t>
  </si>
  <si>
    <t>PC6</t>
  </si>
  <si>
    <t>PC7</t>
  </si>
  <si>
    <t>PC8</t>
  </si>
  <si>
    <t>PC9</t>
  </si>
  <si>
    <t>PC10</t>
  </si>
  <si>
    <t>PC11</t>
  </si>
  <si>
    <t>PC12</t>
  </si>
  <si>
    <t>PC13</t>
  </si>
  <si>
    <t>PC14</t>
  </si>
  <si>
    <t>PC15</t>
  </si>
  <si>
    <t>MACHINE / EQUIPMENT LISTING</t>
  </si>
  <si>
    <t>Weight</t>
  </si>
  <si>
    <t>NUMBER OF LOADS</t>
  </si>
  <si>
    <t>U/Ground</t>
  </si>
  <si>
    <t>WRD</t>
  </si>
  <si>
    <t>Process Facililities</t>
  </si>
  <si>
    <t>TSF</t>
  </si>
  <si>
    <t>HLP</t>
  </si>
  <si>
    <t>Haul Roads</t>
  </si>
  <si>
    <t>Admin Buildings</t>
  </si>
  <si>
    <t>Auxillary Areas</t>
  </si>
  <si>
    <t>Services Infra</t>
  </si>
  <si>
    <t>Water Mgt</t>
  </si>
  <si>
    <t>ISR</t>
  </si>
  <si>
    <t>Tonnes</t>
  </si>
  <si>
    <t>&lt; 30t</t>
  </si>
  <si>
    <t>30t - 40t</t>
  </si>
  <si>
    <t>&gt; 40t</t>
  </si>
  <si>
    <t>Activities Requiring Machine Types</t>
  </si>
  <si>
    <t>Caterpillar 988 Loader, 5.7m3 bucket  or Equivalent</t>
  </si>
  <si>
    <t xml:space="preserve">Caterpillar 924 Loader, 2.0m3 bucket </t>
  </si>
  <si>
    <t>Caterpillar D11 Dozer  or Equivalent</t>
  </si>
  <si>
    <t>Caterpillar D8 Dozer  or Equivalent</t>
  </si>
  <si>
    <t>Caterpillar 385 Excavator, 60 Tonne or Equivalent</t>
  </si>
  <si>
    <t>Caterpillar 328 Excavator, 30 Tonne or Equivalent</t>
  </si>
  <si>
    <t>Caterpilar 311 Excavator, 10 Tonne or Equivalent</t>
  </si>
  <si>
    <t>Profile Road Scraper or Equivalent</t>
  </si>
  <si>
    <t>Caterplillar 623 Scraper or Equivalent</t>
  </si>
  <si>
    <t>Caterpillar 16M Grader or Equivalent</t>
  </si>
  <si>
    <t>Caterpillar 60 Tonne (35m3) Dump Truck or Equivalent</t>
  </si>
  <si>
    <t>Caterpillar 35 Tonne (20m3) Dump Truck or Equivalent</t>
  </si>
  <si>
    <t xml:space="preserve">Compaction Roller </t>
  </si>
  <si>
    <t xml:space="preserve">Water Tanker </t>
  </si>
  <si>
    <t xml:space="preserve">Quick Fill Tank </t>
  </si>
  <si>
    <t>Crane Hire 60 Tonnes</t>
  </si>
  <si>
    <t>Crane Hire General</t>
  </si>
  <si>
    <t>Mobile Crane</t>
  </si>
  <si>
    <t xml:space="preserve">Semi Trailer </t>
  </si>
  <si>
    <t>Long reach Excavator for cleaning out of dams etc</t>
  </si>
  <si>
    <t xml:space="preserve">Semi Tipper </t>
  </si>
  <si>
    <t>Backhoe for minor works</t>
  </si>
  <si>
    <t>Chipping Machine for disposing of pipes</t>
  </si>
  <si>
    <t>Tractor with Seed Box</t>
  </si>
  <si>
    <t xml:space="preserve">Pump for emptying liquid from a dam </t>
  </si>
  <si>
    <t xml:space="preserve">Pump for Sludge Removal in Tanks </t>
  </si>
  <si>
    <t xml:space="preserve">45' Knuckle Boom Diesel </t>
  </si>
  <si>
    <t xml:space="preserve">43' Scissor Diesel </t>
  </si>
  <si>
    <t xml:space="preserve">Welder + Accessories </t>
  </si>
  <si>
    <t xml:space="preserve">Generator </t>
  </si>
  <si>
    <t>Vegetation Scarifier (including traction vehicle)</t>
  </si>
  <si>
    <t>Deep Ripping Tyne Attachment</t>
  </si>
  <si>
    <t>Hydromulcher</t>
  </si>
  <si>
    <t xml:space="preserve">Hax-saw Hire </t>
  </si>
  <si>
    <t xml:space="preserve">Oxy Acetylene Hire </t>
  </si>
  <si>
    <t>Cherry Picker 40m</t>
  </si>
  <si>
    <t xml:space="preserve">Pump to treat soil contaminated material for on-site remediation </t>
  </si>
  <si>
    <t xml:space="preserve">Concrete Cutting Gear </t>
  </si>
  <si>
    <t xml:space="preserve">Grout Mixing Machine and Tremie </t>
  </si>
  <si>
    <t xml:space="preserve">Drilling Gear for Rockbolts </t>
  </si>
  <si>
    <t xml:space="preserve">Concrete Pump </t>
  </si>
  <si>
    <t xml:space="preserve">Skidsteer </t>
  </si>
  <si>
    <t xml:space="preserve">Package Pump Unit (Self powered) </t>
  </si>
  <si>
    <t xml:space="preserve">Dosing System on Skid installed and connected to Treat TSF </t>
  </si>
  <si>
    <t xml:space="preserve">Caterpillar 385 Excavator with Rockbreaker </t>
  </si>
  <si>
    <t>Caterpillar 385 Excavator with Grab</t>
  </si>
  <si>
    <t>Refer to "Mob &amp; Demob Equipment List" worksheet to determine size and number of loads</t>
  </si>
  <si>
    <t>Loads</t>
  </si>
  <si>
    <t>Mob &amp; Demob Equipment Listing</t>
  </si>
  <si>
    <t>Added equipment listing to assist in determining size and number of loads of equipment proposed for rehabilitation works.</t>
  </si>
  <si>
    <t>Minor corrections</t>
  </si>
  <si>
    <t>Wookbook</t>
  </si>
  <si>
    <t>Equation corrections</t>
  </si>
  <si>
    <t xml:space="preserve">The activity includes the demolition and removal of reinforced concrete slabs max 300 mm thick. Assumes cutting off piles at 1 m below surface. </t>
  </si>
  <si>
    <t>BOND RECOMMENDATION NET OF EARF CONTRIBUTIONS</t>
  </si>
  <si>
    <t>Remaining Reserve</t>
  </si>
  <si>
    <t>EARF Contributions</t>
  </si>
  <si>
    <t>Life of Mine</t>
  </si>
  <si>
    <t>EARF Projects to Date</t>
  </si>
  <si>
    <t>Net EARF Position</t>
  </si>
  <si>
    <t>RehabilItation Liability Estimate</t>
  </si>
  <si>
    <t>Net Bond Recommendation</t>
  </si>
  <si>
    <t>EARF Contrutions to Date</t>
  </si>
  <si>
    <t xml:space="preserve">EML </t>
  </si>
  <si>
    <t>Period</t>
  </si>
  <si>
    <t>Contribution</t>
  </si>
  <si>
    <t>2019/12</t>
  </si>
  <si>
    <t>2019/06</t>
  </si>
  <si>
    <t>2018/12</t>
  </si>
  <si>
    <t>2018/06</t>
  </si>
  <si>
    <t>2017/12</t>
  </si>
  <si>
    <t>2017/06</t>
  </si>
  <si>
    <t>2016/12</t>
  </si>
  <si>
    <t>2016/06</t>
  </si>
  <si>
    <t>2015/12</t>
  </si>
  <si>
    <t>2015/06</t>
  </si>
  <si>
    <t>2014/12</t>
  </si>
  <si>
    <t>2014/06</t>
  </si>
  <si>
    <t>2013/12</t>
  </si>
  <si>
    <t>2013/06</t>
  </si>
  <si>
    <t>2012/12</t>
  </si>
  <si>
    <t>2012/06</t>
  </si>
  <si>
    <t>2011/12</t>
  </si>
  <si>
    <t>2011/06</t>
  </si>
  <si>
    <t>2010/12</t>
  </si>
  <si>
    <t>2010/06</t>
  </si>
  <si>
    <t>2009/12</t>
  </si>
  <si>
    <t>2009/06</t>
  </si>
  <si>
    <t>2008/12</t>
  </si>
  <si>
    <t>2008/06</t>
  </si>
  <si>
    <t>2007/12</t>
  </si>
  <si>
    <t>2007/06</t>
  </si>
  <si>
    <t>2006/12</t>
  </si>
  <si>
    <t>2006/06</t>
  </si>
  <si>
    <t>2005/12</t>
  </si>
  <si>
    <t>2005/06</t>
  </si>
  <si>
    <t>2004/12</t>
  </si>
  <si>
    <t>2004/06</t>
  </si>
  <si>
    <t>2003/12</t>
  </si>
  <si>
    <t>2003/06</t>
  </si>
  <si>
    <t>2002/12</t>
  </si>
  <si>
    <t>2002/06</t>
  </si>
  <si>
    <t>2001/12</t>
  </si>
  <si>
    <t>2001/06</t>
  </si>
  <si>
    <t>2000/12</t>
  </si>
  <si>
    <t>2000/06</t>
  </si>
  <si>
    <t>1999/12</t>
  </si>
  <si>
    <t>1999/06</t>
  </si>
  <si>
    <t>1998/12</t>
  </si>
  <si>
    <t>1998/06</t>
  </si>
  <si>
    <t>1997/12</t>
  </si>
  <si>
    <t>1997/06</t>
  </si>
  <si>
    <t>1996/12</t>
  </si>
  <si>
    <t>1996/06</t>
  </si>
  <si>
    <t>1995/12</t>
  </si>
  <si>
    <t>1995/06</t>
  </si>
  <si>
    <t>1994/12</t>
  </si>
  <si>
    <t>1994/06</t>
  </si>
  <si>
    <t>1993/12</t>
  </si>
  <si>
    <t>1993/06</t>
  </si>
  <si>
    <t>1992/12</t>
  </si>
  <si>
    <t>1992/06</t>
  </si>
  <si>
    <t>1991/12</t>
  </si>
  <si>
    <t>1991/06</t>
  </si>
  <si>
    <t>1990/12</t>
  </si>
  <si>
    <t>1990/06</t>
  </si>
  <si>
    <t>1989/12</t>
  </si>
  <si>
    <t>1989/06</t>
  </si>
  <si>
    <t>1988/12</t>
  </si>
  <si>
    <t>1988/06</t>
  </si>
  <si>
    <t>1987/12</t>
  </si>
  <si>
    <t>1987/06</t>
  </si>
  <si>
    <t>1986/12</t>
  </si>
  <si>
    <t>1986/06</t>
  </si>
  <si>
    <t>1985/12</t>
  </si>
  <si>
    <t>1985/06</t>
  </si>
  <si>
    <t>1984/12</t>
  </si>
  <si>
    <t>1984/06</t>
  </si>
  <si>
    <t>1983/12</t>
  </si>
  <si>
    <t>1983/06</t>
  </si>
  <si>
    <t>1982/12</t>
  </si>
  <si>
    <t>1982/06</t>
  </si>
  <si>
    <t>1981/12</t>
  </si>
  <si>
    <t>1981/06</t>
  </si>
  <si>
    <t>1980/12</t>
  </si>
  <si>
    <t>1980/06</t>
  </si>
  <si>
    <t>1979/12</t>
  </si>
  <si>
    <t>1979/06</t>
  </si>
  <si>
    <t>1978/12</t>
  </si>
  <si>
    <t>1978/06</t>
  </si>
  <si>
    <t>1977/12</t>
  </si>
  <si>
    <t>1977/06</t>
  </si>
  <si>
    <t>1976/12</t>
  </si>
  <si>
    <t>1976/06</t>
  </si>
  <si>
    <t>1975/12</t>
  </si>
  <si>
    <t>1975/06</t>
  </si>
  <si>
    <t>1974/12</t>
  </si>
  <si>
    <t>1974/06</t>
  </si>
  <si>
    <t>1973/12</t>
  </si>
  <si>
    <t>Renmark</t>
  </si>
  <si>
    <t>Population Centre &amp; Format Changes</t>
  </si>
  <si>
    <t>Added Renmark. Various format changes throughout workbook.</t>
  </si>
  <si>
    <t>(YYYY)</t>
  </si>
  <si>
    <t>2020/06</t>
  </si>
  <si>
    <t>2020/12</t>
  </si>
  <si>
    <t>Caterpillar D6 Dozer  or Equivalent</t>
  </si>
  <si>
    <t>Demolition of Haul and Access Roads 
(Based on 20m wide road including shoulders)</t>
  </si>
  <si>
    <t xml:space="preserve">Updated activity rates </t>
  </si>
  <si>
    <t>Updated rates from Quantity Surveyor. Minor format changes</t>
  </si>
  <si>
    <t>2021/06</t>
  </si>
  <si>
    <t>2021/12</t>
  </si>
  <si>
    <t>2022/06</t>
  </si>
  <si>
    <t>2022/12</t>
  </si>
  <si>
    <t>2023/06</t>
  </si>
  <si>
    <t>2023/12</t>
  </si>
  <si>
    <t>2024/06</t>
  </si>
  <si>
    <t>2024/12</t>
  </si>
  <si>
    <t>A1123</t>
  </si>
  <si>
    <t>A1124</t>
  </si>
  <si>
    <t>A1125</t>
  </si>
  <si>
    <t>A1126</t>
  </si>
  <si>
    <t>A1127</t>
  </si>
  <si>
    <t xml:space="preserve">Non-Degradeable Plug Seal for Exploration Drillhole </t>
  </si>
  <si>
    <t>Plug required to seal drill holes at surface.</t>
  </si>
  <si>
    <t>A1128</t>
  </si>
  <si>
    <t>A1129</t>
  </si>
  <si>
    <t>A1130</t>
  </si>
  <si>
    <t>A1131</t>
  </si>
  <si>
    <t>A1132</t>
  </si>
  <si>
    <t>A1133</t>
  </si>
  <si>
    <t>This Activity covers the grouting of drillholes which intersect aquifers.  Length of grouting to include multiple aquifers plus 15m above and below each aquifer.</t>
  </si>
  <si>
    <t>This activity is based on the type and capacity of the plant.  Rate is based on plant capacity in megalitres/day.  Includes the full demolition and removal to a designated dump on site.  8 modules to remove.</t>
  </si>
  <si>
    <t>The activity is based on a RO type of water treatment plant.  Whilst there are a variety of water treatment plants, RO plants are more common and have been assessed as average in cost to demolish and remove.</t>
  </si>
  <si>
    <t>This activity is based on the type and capacity of the plant.  Rate is based on plant capacity in megalitres/day.  Includes the full demolition and removal to a designated dump on site.</t>
  </si>
  <si>
    <t>Wastewater Treatment Plant (Tertiary Filtration System) - demolish and remove</t>
  </si>
  <si>
    <t>Water Treatment Plant - RO desalination or ion exchanger system - demolish and remove - based on plant capacity in Mega Litres a Day</t>
  </si>
  <si>
    <t xml:space="preserve">Wastewater Treatment Plant - anoxic and aeration tank (activated sludge process) - demolish and remove </t>
  </si>
  <si>
    <t>Holes</t>
  </si>
  <si>
    <t>Select the haul distance for the suitable material  (km) (Drop down box)</t>
  </si>
  <si>
    <t>Total for Monitoring and Other In-Direct Costs</t>
  </si>
  <si>
    <t>Determine the haul distance  (km)</t>
  </si>
  <si>
    <t>EML</t>
  </si>
  <si>
    <t>Camp and Laydown Areas</t>
  </si>
  <si>
    <r>
      <t xml:space="preserve">Rehabilitation of Areas disturbed by Exploration Activities </t>
    </r>
    <r>
      <rPr>
        <b/>
        <sz val="12"/>
        <color theme="1"/>
        <rFont val="Calibri"/>
        <family val="2"/>
        <scheme val="minor"/>
      </rPr>
      <t xml:space="preserve"> </t>
    </r>
    <r>
      <rPr>
        <sz val="12"/>
        <color theme="1"/>
        <rFont val="Calibri"/>
        <family val="2"/>
        <scheme val="minor"/>
      </rPr>
      <t>(Including drill pads, costeans, bulk sample pits, pilot shafts and access tracks)</t>
    </r>
  </si>
  <si>
    <t>Rehabilitation of Drill Holes in Unconfined Rock</t>
  </si>
  <si>
    <t>The default Cost is based on a nominal hole meterage of 100 metres</t>
  </si>
  <si>
    <t>Use Calculations sheet to calculate average meterage of drillholes</t>
  </si>
  <si>
    <t>Do Not Delete</t>
  </si>
  <si>
    <t>A1134</t>
  </si>
  <si>
    <t>Labour - Minutes per Activity</t>
  </si>
  <si>
    <t>Hole Dia</t>
  </si>
  <si>
    <t>Vol/bag</t>
  </si>
  <si>
    <t>Depth m</t>
  </si>
  <si>
    <t>m/hr</t>
  </si>
  <si>
    <t>Estimated</t>
  </si>
  <si>
    <t>GROUT MIX DESIGN</t>
  </si>
  <si>
    <t>Travel to hole</t>
  </si>
  <si>
    <t>Mins</t>
  </si>
  <si>
    <t>PD</t>
  </si>
  <si>
    <t>Kg</t>
  </si>
  <si>
    <t>Set Up</t>
  </si>
  <si>
    <t>Cement</t>
  </si>
  <si>
    <t>Mixing</t>
  </si>
  <si>
    <t>Water</t>
  </si>
  <si>
    <t>Clean up</t>
  </si>
  <si>
    <t>Grouting</t>
  </si>
  <si>
    <t>per bag</t>
  </si>
  <si>
    <t>Hole Diameter</t>
  </si>
  <si>
    <t>260mm</t>
  </si>
  <si>
    <t>200mm</t>
  </si>
  <si>
    <t>140mm</t>
  </si>
  <si>
    <t>125mm</t>
  </si>
  <si>
    <t>100mm</t>
  </si>
  <si>
    <t>75mm</t>
  </si>
  <si>
    <t>Number of Holes</t>
  </si>
  <si>
    <t>Average Meterage of Drillhole</t>
  </si>
  <si>
    <t>Outside Aquifer Zone</t>
  </si>
  <si>
    <t>Average Meterage of Grouting</t>
  </si>
  <si>
    <t>Average Zone Length of Drillhole</t>
  </si>
  <si>
    <t>Average Meterage Of Holes</t>
  </si>
  <si>
    <t>NOTE: Include an additional 15m above and below the aquifer as per SA Earth Resources Information Sheet M21.</t>
  </si>
  <si>
    <t/>
  </si>
  <si>
    <t>Machine and Labour Base Cost for Grouting Drillholes</t>
  </si>
  <si>
    <t>Van Ruth Plug Seal for Grouting Exploration Drillhole through Aquifers</t>
  </si>
  <si>
    <t>A1135</t>
  </si>
  <si>
    <t>$/hr</t>
  </si>
  <si>
    <t>$/m</t>
  </si>
  <si>
    <t>Semi Trailer Transport Costs</t>
  </si>
  <si>
    <t xml:space="preserve">This activity covers the transport costs of removing materials from the site or delivering materials from off-site using a semi tipper.  </t>
  </si>
  <si>
    <t>A1136</t>
  </si>
  <si>
    <t>Crusher Dust - Ex Quarry</t>
  </si>
  <si>
    <t>Updated rates and exploration</t>
  </si>
  <si>
    <t>Updated rates from Quantity Surveyor. Exploration worksheet update. Minor format changes</t>
  </si>
  <si>
    <t>Select the transport distance for the suitable material  (km) (Drop down box)</t>
  </si>
  <si>
    <t>Purchase and delivery of imported backfill for drillholes where material needs to be transported from an offsite source</t>
  </si>
  <si>
    <t>Total for Water Management Activities:</t>
  </si>
  <si>
    <t>Fill Rate per 40kg bag grout mix</t>
  </si>
  <si>
    <t>260mm Diameter - Drillhole
Grout mix cost per 100m of depth for rehabilitation of drillholes through aquifer zones including 15m above and below the zone (refer to SA Earth Resources Information Sheet M21)</t>
  </si>
  <si>
    <t>200mm Diameter - Drillhole
Grout mix cost per 100m of depth for rehabilitation of drillholes through aquifer zones including 15m above and below the zone (refer to SA Earth Resources Information Sheet M21)</t>
  </si>
  <si>
    <t>140mm Diameter - Drillhole
Grout mix cost per 100m of depth for rehabilitation of drillholes through aquifer zones including 15m above and below the zone (refer to SA Earth Resources Information Sheet M21)</t>
  </si>
  <si>
    <t>125mm Diameter - Drillhole
Grout mix cost per 100m of depth for rehabilitation of drillholes through aquifer zones including 15m above and below the zone (refer to SA Earth Resources Information Sheet M21)</t>
  </si>
  <si>
    <t>100mm Diameter - Drillhole
Grout mix cost per 100m of depth for rehabilitation of drillholes through aquifer zones including 15m above and below the zone (refer to SA Earth Resources Information Sheet M21)</t>
  </si>
  <si>
    <t>75mm Diameter - Drillhole
Grout mix cost per 100m of depth for rehabilitation of drillholes through aquifer zones including 15m above and below the zone (refer to SA Earth Resources Information Sheet M21)</t>
  </si>
  <si>
    <t>This Activity covers the grout mix cost grouting of drillholes which intersect aquifers.  Length of grouting to include multiple aquifers plus 15m above and below each aquifer.</t>
  </si>
  <si>
    <r>
      <t xml:space="preserve">Within Aquifer Zone - </t>
    </r>
    <r>
      <rPr>
        <b/>
        <sz val="14"/>
        <color rgb="FFFF0000"/>
        <rFont val="Calibri"/>
        <family val="2"/>
        <scheme val="minor"/>
      </rPr>
      <t>See Note</t>
    </r>
  </si>
  <si>
    <t>Plugs per hole</t>
  </si>
  <si>
    <t>Ceduna</t>
  </si>
  <si>
    <t>Coober Pedy</t>
  </si>
  <si>
    <t>Naracoorte</t>
  </si>
  <si>
    <t>Rehabilitation of Drillholes through Confined Aquifers</t>
  </si>
  <si>
    <r>
      <rPr>
        <b/>
        <sz val="16"/>
        <color theme="1"/>
        <rFont val="Calibri"/>
        <family val="2"/>
        <scheme val="minor"/>
      </rPr>
      <t xml:space="preserve">260mm Maximum  Diameter Drillholes </t>
    </r>
    <r>
      <rPr>
        <b/>
        <sz val="12"/>
        <color theme="1"/>
        <rFont val="Calibri"/>
        <family val="2"/>
        <scheme val="minor"/>
      </rPr>
      <t xml:space="preserve">
</t>
    </r>
    <r>
      <rPr>
        <sz val="12"/>
        <color theme="1"/>
        <rFont val="Calibri"/>
        <family val="2"/>
        <scheme val="minor"/>
      </rPr>
      <t>Backfill, Cap and Seal Drillholes  (Backfill hole with cuttings etc, cut off below ground level and seal the top of the hole before covering with soil and burying any remaining cuttings)</t>
    </r>
  </si>
  <si>
    <r>
      <t xml:space="preserve">200mm Maximum Diameter Drillholes 
</t>
    </r>
    <r>
      <rPr>
        <i/>
        <sz val="12"/>
        <color theme="1"/>
        <rFont val="Calibri"/>
        <family val="2"/>
        <scheme val="minor"/>
      </rPr>
      <t>As above for smaller drillholes</t>
    </r>
  </si>
  <si>
    <r>
      <t xml:space="preserve">140mm Maximum Diameter Drillholes 
</t>
    </r>
    <r>
      <rPr>
        <i/>
        <sz val="12"/>
        <color theme="1"/>
        <rFont val="Calibri"/>
        <family val="2"/>
        <scheme val="minor"/>
      </rPr>
      <t>As above for smaller drillholes</t>
    </r>
  </si>
  <si>
    <r>
      <t xml:space="preserve"> 125mm Maximum Diameter Drillholes
</t>
    </r>
    <r>
      <rPr>
        <i/>
        <sz val="12"/>
        <color theme="1"/>
        <rFont val="Calibri"/>
        <family val="2"/>
        <scheme val="minor"/>
      </rPr>
      <t>As above for smaller drillholes</t>
    </r>
  </si>
  <si>
    <r>
      <t xml:space="preserve"> 100mm Maximum Diameter Drillholes
</t>
    </r>
    <r>
      <rPr>
        <i/>
        <sz val="12"/>
        <color theme="1"/>
        <rFont val="Calibri"/>
        <family val="2"/>
        <scheme val="minor"/>
      </rPr>
      <t>As above for smaller drillholes</t>
    </r>
  </si>
  <si>
    <r>
      <t xml:space="preserve"> 75mm Maximum Diameter Drillholes
</t>
    </r>
    <r>
      <rPr>
        <i/>
        <sz val="12"/>
        <color theme="1"/>
        <rFont val="Calibri"/>
        <family val="2"/>
        <scheme val="minor"/>
      </rPr>
      <t>As above for smaller drillholes</t>
    </r>
  </si>
  <si>
    <r>
      <rPr>
        <b/>
        <sz val="16"/>
        <color rgb="FF0070C0"/>
        <rFont val="Calibri"/>
        <family val="2"/>
        <scheme val="minor"/>
      </rPr>
      <t xml:space="preserve">Outside Aquifer Zone </t>
    </r>
    <r>
      <rPr>
        <b/>
        <sz val="16"/>
        <color theme="1"/>
        <rFont val="Calibri"/>
        <family val="2"/>
        <scheme val="minor"/>
      </rPr>
      <t xml:space="preserve">
260mm Maximum Diameter Drillhole
 </t>
    </r>
    <r>
      <rPr>
        <i/>
        <sz val="12"/>
        <color theme="1"/>
        <rFont val="Calibri"/>
        <family val="2"/>
        <scheme val="minor"/>
      </rPr>
      <t>Backfill, Cap and Seal Drillholes  (Backfill hole with cuttings etc, cut off below ground level and seal the top of the hole before covering with soil and burying any remaining cuttings)</t>
    </r>
  </si>
  <si>
    <r>
      <rPr>
        <b/>
        <i/>
        <sz val="16"/>
        <color rgb="FF00B050"/>
        <rFont val="Calibri"/>
        <family val="2"/>
        <scheme val="minor"/>
      </rPr>
      <t>Within Aquifer Zone</t>
    </r>
    <r>
      <rPr>
        <b/>
        <sz val="16"/>
        <color rgb="FF00B050"/>
        <rFont val="Calibri"/>
        <family val="2"/>
        <scheme val="minor"/>
      </rPr>
      <t xml:space="preserve"> </t>
    </r>
    <r>
      <rPr>
        <b/>
        <sz val="16"/>
        <color theme="1"/>
        <rFont val="Calibri"/>
        <family val="2"/>
        <scheme val="minor"/>
      </rPr>
      <t xml:space="preserve">
260mm Maximum Diameter - Drillhole
</t>
    </r>
    <r>
      <rPr>
        <i/>
        <sz val="12"/>
        <color theme="1"/>
        <rFont val="Calibri"/>
        <family val="2"/>
        <scheme val="minor"/>
      </rPr>
      <t>Grouting and rehabilitation of drillholes including 15m above and below the aquifer zone (refer to SA Earth Resources Information Sheet M21)</t>
    </r>
  </si>
  <si>
    <r>
      <rPr>
        <b/>
        <sz val="16"/>
        <color rgb="FF0070C0"/>
        <rFont val="Calibri"/>
        <family val="2"/>
        <scheme val="minor"/>
      </rPr>
      <t xml:space="preserve">Outside Aquifer Zone </t>
    </r>
    <r>
      <rPr>
        <b/>
        <sz val="16"/>
        <color theme="1"/>
        <rFont val="Calibri"/>
        <family val="2"/>
        <scheme val="minor"/>
      </rPr>
      <t xml:space="preserve">
200mm Maximum Diameter Drillhole
As above for smaller drillholes</t>
    </r>
  </si>
  <si>
    <r>
      <rPr>
        <b/>
        <i/>
        <sz val="16"/>
        <color rgb="FF00B050"/>
        <rFont val="Calibri"/>
        <family val="2"/>
        <scheme val="minor"/>
      </rPr>
      <t>Within Aquifer Zone</t>
    </r>
    <r>
      <rPr>
        <b/>
        <sz val="16"/>
        <color rgb="FF00B050"/>
        <rFont val="Calibri"/>
        <family val="2"/>
        <scheme val="minor"/>
      </rPr>
      <t xml:space="preserve"> </t>
    </r>
    <r>
      <rPr>
        <b/>
        <sz val="16"/>
        <color theme="1"/>
        <rFont val="Calibri"/>
        <family val="2"/>
        <scheme val="minor"/>
      </rPr>
      <t xml:space="preserve">
200mm Maximum Diameter - Drillhole
</t>
    </r>
    <r>
      <rPr>
        <i/>
        <sz val="12"/>
        <color theme="1"/>
        <rFont val="Calibri"/>
        <family val="2"/>
        <scheme val="minor"/>
      </rPr>
      <t>As above for smaller drillholes</t>
    </r>
  </si>
  <si>
    <r>
      <rPr>
        <b/>
        <sz val="16"/>
        <color rgb="FF0070C0"/>
        <rFont val="Calibri"/>
        <family val="2"/>
        <scheme val="minor"/>
      </rPr>
      <t xml:space="preserve">Outside Aquifer Zone </t>
    </r>
    <r>
      <rPr>
        <b/>
        <sz val="16"/>
        <color theme="1"/>
        <rFont val="Calibri"/>
        <family val="2"/>
        <scheme val="minor"/>
      </rPr>
      <t xml:space="preserve">
140mm Maximum Diameter Drillhole 
</t>
    </r>
    <r>
      <rPr>
        <i/>
        <sz val="12"/>
        <color theme="1"/>
        <rFont val="Calibri"/>
        <family val="2"/>
        <scheme val="minor"/>
      </rPr>
      <t>As above for smaller drillholes</t>
    </r>
  </si>
  <si>
    <r>
      <rPr>
        <b/>
        <i/>
        <sz val="16"/>
        <color rgb="FF00B050"/>
        <rFont val="Calibri"/>
        <family val="2"/>
        <scheme val="minor"/>
      </rPr>
      <t>Within Aquifer Zone</t>
    </r>
    <r>
      <rPr>
        <b/>
        <sz val="16"/>
        <color rgb="FF00B050"/>
        <rFont val="Calibri"/>
        <family val="2"/>
        <scheme val="minor"/>
      </rPr>
      <t xml:space="preserve"> </t>
    </r>
    <r>
      <rPr>
        <b/>
        <sz val="16"/>
        <color theme="1"/>
        <rFont val="Calibri"/>
        <family val="2"/>
        <scheme val="minor"/>
      </rPr>
      <t xml:space="preserve">
140mm Maximum Diameter - Drillhole
</t>
    </r>
    <r>
      <rPr>
        <i/>
        <sz val="12"/>
        <color theme="1"/>
        <rFont val="Calibri"/>
        <family val="2"/>
        <scheme val="minor"/>
      </rPr>
      <t>As above for smaller drillholes</t>
    </r>
  </si>
  <si>
    <r>
      <rPr>
        <b/>
        <sz val="16"/>
        <color rgb="FF0070C0"/>
        <rFont val="Calibri"/>
        <family val="2"/>
        <scheme val="minor"/>
      </rPr>
      <t xml:space="preserve">Outside Aquifer Zone   </t>
    </r>
    <r>
      <rPr>
        <b/>
        <sz val="12"/>
        <color theme="1"/>
        <rFont val="Calibri"/>
        <family val="2"/>
        <scheme val="minor"/>
      </rPr>
      <t xml:space="preserve">
</t>
    </r>
    <r>
      <rPr>
        <b/>
        <sz val="16"/>
        <color theme="1"/>
        <rFont val="Calibri"/>
        <family val="2"/>
        <scheme val="minor"/>
      </rPr>
      <t xml:space="preserve">125mm Maximum Diameter Drillhole 
</t>
    </r>
    <r>
      <rPr>
        <i/>
        <sz val="12"/>
        <color theme="1"/>
        <rFont val="Calibri"/>
        <family val="2"/>
        <scheme val="minor"/>
      </rPr>
      <t>As above for smaller drillholes</t>
    </r>
  </si>
  <si>
    <r>
      <rPr>
        <b/>
        <i/>
        <sz val="16"/>
        <color rgb="FF00B050"/>
        <rFont val="Calibri"/>
        <family val="2"/>
        <scheme val="minor"/>
      </rPr>
      <t>Within Aquifer Zone</t>
    </r>
    <r>
      <rPr>
        <b/>
        <sz val="12"/>
        <color theme="1"/>
        <rFont val="Calibri"/>
        <family val="2"/>
        <scheme val="minor"/>
      </rPr>
      <t xml:space="preserve">
 </t>
    </r>
    <r>
      <rPr>
        <b/>
        <sz val="16"/>
        <color theme="1"/>
        <rFont val="Calibri"/>
        <family val="2"/>
        <scheme val="minor"/>
      </rPr>
      <t xml:space="preserve">125mm Maximum Diameter Drillhole 
</t>
    </r>
    <r>
      <rPr>
        <i/>
        <sz val="12"/>
        <color theme="1"/>
        <rFont val="Calibri"/>
        <family val="2"/>
        <scheme val="minor"/>
      </rPr>
      <t>As above for smaller drillholes</t>
    </r>
  </si>
  <si>
    <r>
      <rPr>
        <b/>
        <sz val="16"/>
        <color rgb="FF0070C0"/>
        <rFont val="Calibri"/>
        <family val="2"/>
        <scheme val="minor"/>
      </rPr>
      <t xml:space="preserve">Outside Aquifer Zone   </t>
    </r>
    <r>
      <rPr>
        <b/>
        <sz val="12"/>
        <color theme="1"/>
        <rFont val="Calibri"/>
        <family val="2"/>
        <scheme val="minor"/>
      </rPr>
      <t xml:space="preserve">
</t>
    </r>
    <r>
      <rPr>
        <b/>
        <sz val="16"/>
        <color theme="1"/>
        <rFont val="Calibri"/>
        <family val="2"/>
        <scheme val="minor"/>
      </rPr>
      <t xml:space="preserve">100mm Maximum Diameter Drillhole 
</t>
    </r>
    <r>
      <rPr>
        <i/>
        <sz val="12"/>
        <color theme="1"/>
        <rFont val="Calibri"/>
        <family val="2"/>
        <scheme val="minor"/>
      </rPr>
      <t>As above for smaller drillholes</t>
    </r>
  </si>
  <si>
    <r>
      <rPr>
        <b/>
        <i/>
        <sz val="16"/>
        <color rgb="FF00B050"/>
        <rFont val="Calibri"/>
        <family val="2"/>
        <scheme val="minor"/>
      </rPr>
      <t>Within Aquifer Zone</t>
    </r>
    <r>
      <rPr>
        <b/>
        <sz val="12"/>
        <color theme="1"/>
        <rFont val="Calibri"/>
        <family val="2"/>
        <scheme val="minor"/>
      </rPr>
      <t xml:space="preserve">
 </t>
    </r>
    <r>
      <rPr>
        <b/>
        <sz val="16"/>
        <color theme="1"/>
        <rFont val="Calibri"/>
        <family val="2"/>
        <scheme val="minor"/>
      </rPr>
      <t xml:space="preserve">100mm Maximum Diameter Drillhole 
</t>
    </r>
    <r>
      <rPr>
        <i/>
        <sz val="12"/>
        <color theme="1"/>
        <rFont val="Calibri"/>
        <family val="2"/>
        <scheme val="minor"/>
      </rPr>
      <t>As above for smaller drillholes</t>
    </r>
  </si>
  <si>
    <r>
      <rPr>
        <b/>
        <sz val="16"/>
        <color rgb="FF0070C0"/>
        <rFont val="Calibri"/>
        <family val="2"/>
        <scheme val="minor"/>
      </rPr>
      <t xml:space="preserve">Outside Aquifer Zone </t>
    </r>
    <r>
      <rPr>
        <b/>
        <sz val="16"/>
        <color theme="1"/>
        <rFont val="Calibri"/>
        <family val="2"/>
        <scheme val="minor"/>
      </rPr>
      <t xml:space="preserve">
75mm Maximum Diameter Drillhole
</t>
    </r>
    <r>
      <rPr>
        <i/>
        <sz val="12"/>
        <color theme="1"/>
        <rFont val="Calibri"/>
        <family val="2"/>
        <scheme val="minor"/>
      </rPr>
      <t>As above for smaller drillholes</t>
    </r>
  </si>
  <si>
    <r>
      <rPr>
        <b/>
        <i/>
        <sz val="16"/>
        <color rgb="FF00B050"/>
        <rFont val="Calibri"/>
        <family val="2"/>
        <scheme val="minor"/>
      </rPr>
      <t>Within Aquifer Zone</t>
    </r>
    <r>
      <rPr>
        <b/>
        <sz val="12"/>
        <color theme="1"/>
        <rFont val="Calibri"/>
        <family val="2"/>
        <scheme val="minor"/>
      </rPr>
      <t xml:space="preserve">
</t>
    </r>
    <r>
      <rPr>
        <b/>
        <sz val="16"/>
        <color theme="1"/>
        <rFont val="Calibri"/>
        <family val="2"/>
        <scheme val="minor"/>
      </rPr>
      <t xml:space="preserve"> 75mm Maximum Diameter Drillhole 
</t>
    </r>
    <r>
      <rPr>
        <i/>
        <sz val="12"/>
        <color theme="1"/>
        <rFont val="Calibri"/>
        <family val="2"/>
        <scheme val="minor"/>
      </rPr>
      <t>As above for smaller drillholes</t>
    </r>
  </si>
  <si>
    <t>RLE CALCULATOR - EXPLORATION REHABILITATION EXPLANATION</t>
  </si>
  <si>
    <t>FILLING OF DRILLHOLES THAT DO NOT NEED GROUTING</t>
  </si>
  <si>
    <t>Machine &amp; Labour Cost ($/m)</t>
  </si>
  <si>
    <t>Hole Depth (m)</t>
  </si>
  <si>
    <t>+</t>
  </si>
  <si>
    <t>Cost of Non-Degradeable Plug ($)</t>
  </si>
  <si>
    <t>=</t>
  </si>
  <si>
    <t>Machine &amp; Labour Cost per Hour ($/hr)</t>
  </si>
  <si>
    <t>Fill Rate for Hole Diameter (m/hr</t>
  </si>
  <si>
    <t>GROUTING OF DRILLHOLES THROUGH AN AQUIFER</t>
  </si>
  <si>
    <t>@</t>
  </si>
  <si>
    <t>mins per 40kg bag plus water</t>
  </si>
  <si>
    <t>Time to Grout (Hrs)</t>
  </si>
  <si>
    <t>Grout Mix Cost per 100m ($/100m)</t>
  </si>
  <si>
    <t>no. of Plugs</t>
  </si>
  <si>
    <t>Cost of Van Ruth Plug Seal for Grouting ($)</t>
  </si>
  <si>
    <t>Prep Time (mins)</t>
  </si>
  <si>
    <t>Fill Rate (m/hr)</t>
  </si>
  <si>
    <t>4WD Vehicle Hire Cost</t>
  </si>
  <si>
    <t>5,000L Portable Tank</t>
  </si>
  <si>
    <t>GPU Grouting unit - truck mounted</t>
  </si>
  <si>
    <t>Operator</t>
  </si>
  <si>
    <t>x 2</t>
  </si>
  <si>
    <t>Mix Cost</t>
  </si>
  <si>
    <t>kg/m3</t>
  </si>
  <si>
    <t>Vol/m3</t>
  </si>
  <si>
    <t>$</t>
  </si>
  <si>
    <t>$/tonne</t>
  </si>
  <si>
    <t>20kg cement</t>
  </si>
  <si>
    <r>
      <t xml:space="preserve">Rehabilitation of Drillholes through Confined Aquifers
</t>
    </r>
    <r>
      <rPr>
        <i/>
        <sz val="12"/>
        <color rgb="FFFF0000"/>
        <rFont val="Calibri"/>
        <family val="2"/>
        <scheme val="minor"/>
      </rPr>
      <t>(See "Exploration Calc Explanation" Worksheet for Method)</t>
    </r>
  </si>
  <si>
    <r>
      <t xml:space="preserve">Rehabilitation of Drill Holes in Unconfined Rock
</t>
    </r>
    <r>
      <rPr>
        <i/>
        <sz val="12"/>
        <color rgb="FFFF0000"/>
        <rFont val="Calibri"/>
        <family val="2"/>
        <scheme val="minor"/>
      </rPr>
      <t>(See "Exploration Calc Explanation" Worksheet for Method)</t>
    </r>
  </si>
  <si>
    <t>Rehabilitiation based on the maximum outstanding liability taking into account progressive rehabilitation commitments in the approved PEPR</t>
  </si>
  <si>
    <t xml:space="preserve">The assumption is that the rehabilitation of exploration sites will return the area to its natural state </t>
  </si>
  <si>
    <t>The purpose of this Calculator is to assist mining and exploration operators and Regulatory staff in the determination of the rehabilitation liability for a mining or exploration operation.</t>
  </si>
  <si>
    <t>Simply setting out the Terms and Conditions of Use</t>
  </si>
  <si>
    <t>A series of worksheets which contain the main components of any mining operation.  Each component contains a number of activities.  The opportunity exists for miners to enter in specific activities relevant to their operations and associated costs.</t>
  </si>
  <si>
    <r>
      <t xml:space="preserve">The Operator must ensure that they use the most up to date version of both the Calculator and the Minerals Regulatory Guidelines by checking the DEM website </t>
    </r>
    <r>
      <rPr>
        <i/>
        <sz val="11"/>
        <color theme="1"/>
        <rFont val="Calibri"/>
        <family val="2"/>
        <scheme val="minor"/>
      </rPr>
      <t xml:space="preserve">Mining Regulation </t>
    </r>
    <r>
      <rPr>
        <sz val="11"/>
        <color theme="1"/>
        <rFont val="Calibri"/>
        <family val="2"/>
        <scheme val="minor"/>
      </rPr>
      <t>(</t>
    </r>
    <r>
      <rPr>
        <sz val="11"/>
        <color rgb="FF0070C0"/>
        <rFont val="Calibri"/>
        <family val="2"/>
        <scheme val="minor"/>
      </rPr>
      <t>https://www.energymining.sa.gov.au/</t>
    </r>
    <r>
      <rPr>
        <sz val="11"/>
        <color theme="1"/>
        <rFont val="Calibri"/>
        <family val="2"/>
        <scheme val="minor"/>
      </rPr>
      <t>). DEM may revise the rates and formulae  used in the Calculator at any time without notice but is not under any obligation to do so.</t>
    </r>
  </si>
  <si>
    <r>
      <t xml:space="preserve">The third party rates included in the Calculator may not be altered for the purpose of producing a liability assessment pursuant to the </t>
    </r>
    <r>
      <rPr>
        <i/>
        <sz val="11"/>
        <color theme="1"/>
        <rFont val="Calibri"/>
        <family val="2"/>
        <scheme val="minor"/>
      </rPr>
      <t>Mining Act 1971</t>
    </r>
    <r>
      <rPr>
        <sz val="11"/>
        <color theme="1"/>
        <rFont val="Calibri"/>
        <family val="2"/>
        <scheme val="minor"/>
      </rPr>
      <t xml:space="preserve">.  </t>
    </r>
    <r>
      <rPr>
        <sz val="11"/>
        <color rgb="FFFF0000"/>
        <rFont val="Calibri"/>
        <family val="2"/>
        <scheme val="minor"/>
      </rPr>
      <t xml:space="preserve">Where appropriate Operators may enter alternative unit rates understanding that DEM </t>
    </r>
    <r>
      <rPr>
        <i/>
        <sz val="11"/>
        <color rgb="FFFF0000"/>
        <rFont val="Calibri"/>
        <family val="2"/>
        <scheme val="minor"/>
      </rPr>
      <t>Mining Regulation</t>
    </r>
    <r>
      <rPr>
        <sz val="11"/>
        <color rgb="FFFF0000"/>
        <rFont val="Calibri"/>
        <family val="2"/>
        <scheme val="minor"/>
      </rPr>
      <t xml:space="preserve"> is not obliged to accept such alternative unit rates.</t>
    </r>
  </si>
  <si>
    <r>
      <t xml:space="preserve">DEM Mining Regulation does not warrant or represent that the Calculator or the information it contains is free for errors or omissions or is suitable for an Operator's intended use.  To the maximum extent permitted by law DEM </t>
    </r>
    <r>
      <rPr>
        <i/>
        <sz val="11"/>
        <color theme="1"/>
        <rFont val="Calibri"/>
        <family val="2"/>
        <scheme val="minor"/>
      </rPr>
      <t>Mining Regulation</t>
    </r>
    <r>
      <rPr>
        <sz val="11"/>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</si>
</sst>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8" formatCode="&quot;$&quot;#,##0.00;[Red]\-&quot;$&quot;#,##0.00"/>
    <numFmt numFmtId="44" formatCode="_-&quot;$&quot;* #,##0.00_-;\-&quot;$&quot;* #,##0.00_-;_-&quot;$&quot;* &quot;-&quot;??_-;_-@_-"/>
    <numFmt numFmtId="43" formatCode="_-* #,##0.00_-;\-* #,##0.00_-;_-* &quot;-&quot;??_-;_-@_-"/>
    <numFmt numFmtId="164" formatCode="_-&quot;$&quot;* #,##0_-;\-&quot;$&quot;* #,##0_-;_-&quot;$&quot;* &quot;-&quot;??_-;_-@_-"/>
    <numFmt numFmtId="165" formatCode="0.0%"/>
    <numFmt numFmtId="166" formatCode="#,##0.0"/>
    <numFmt numFmtId="167" formatCode="[$-C09]dd\-mmm\-yy;@"/>
    <numFmt numFmtId="168" formatCode="[$-C09]dd\-mmmm\-yyyy;@"/>
    <numFmt numFmtId="169" formatCode="_-&quot;$&quot;* #,##0.0000_-;\-&quot;$&quot;* #,##0.0000_-;_-&quot;$&quot;* &quot;-&quot;??_-;_-@_-"/>
    <numFmt numFmtId="170" formatCode="&quot;$&quot;#,##0"/>
    <numFmt numFmtId="171" formatCode="_-* #,##0.0_-;\-* #,##0.0_-;_-* &quot;-&quot;??_-;_-@_-"/>
    <numFmt numFmtId="172" formatCode="_-* #,##0_-;\-* #,##0_-;_-* &quot;-&quot;??_-;_-@_-"/>
    <numFmt numFmtId="173" formatCode="0.000"/>
    <numFmt numFmtId="174" formatCode="0.0"/>
  </numFmts>
  <fonts count="69"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4"/>
      <color theme="1"/>
      <name val="Calibri"/>
      <family val="2"/>
      <scheme val="minor"/>
    </font>
    <font>
      <vertAlign val="superscript"/>
      <sz val="11"/>
      <color theme="1"/>
      <name val="Calibri"/>
      <family val="2"/>
      <scheme val="minor"/>
    </font>
    <font>
      <b/>
      <sz val="12"/>
      <color theme="1"/>
      <name val="Calibri"/>
      <family val="2"/>
      <scheme val="minor"/>
    </font>
    <font>
      <b/>
      <sz val="16"/>
      <color theme="1"/>
      <name val="Calibri"/>
      <family val="2"/>
      <scheme val="minor"/>
    </font>
    <font>
      <b/>
      <sz val="20"/>
      <color theme="1"/>
      <name val="Calibri"/>
      <family val="2"/>
      <scheme val="minor"/>
    </font>
    <font>
      <b/>
      <sz val="22"/>
      <color theme="1"/>
      <name val="Calibri"/>
      <family val="2"/>
      <scheme val="minor"/>
    </font>
    <font>
      <sz val="12"/>
      <color theme="1"/>
      <name val="Calibri"/>
      <family val="2"/>
      <scheme val="minor"/>
    </font>
    <font>
      <sz val="9"/>
      <color theme="1"/>
      <name val="Calibri"/>
      <family val="2"/>
      <scheme val="minor"/>
    </font>
    <font>
      <sz val="9"/>
      <name val="Calibri"/>
      <family val="2"/>
      <scheme val="minor"/>
    </font>
    <font>
      <sz val="9"/>
      <color rgb="FFFF0000"/>
      <name val="Calibri"/>
      <family val="2"/>
      <scheme val="minor"/>
    </font>
    <font>
      <b/>
      <sz val="14"/>
      <name val="Calibri"/>
      <family val="2"/>
      <scheme val="minor"/>
    </font>
    <font>
      <b/>
      <sz val="9"/>
      <color theme="1"/>
      <name val="Calibri"/>
      <family val="2"/>
      <scheme val="minor"/>
    </font>
    <font>
      <sz val="10"/>
      <color theme="1"/>
      <name val="Calibri"/>
      <family val="2"/>
      <scheme val="minor"/>
    </font>
    <font>
      <sz val="10"/>
      <color rgb="FFFF0000"/>
      <name val="Calibri"/>
      <family val="2"/>
      <scheme val="minor"/>
    </font>
    <font>
      <sz val="10"/>
      <name val="Calibri"/>
      <family val="2"/>
      <scheme val="minor"/>
    </font>
    <font>
      <b/>
      <sz val="10"/>
      <color theme="1"/>
      <name val="Calibri"/>
      <family val="2"/>
      <scheme val="minor"/>
    </font>
    <font>
      <b/>
      <sz val="18"/>
      <color theme="1"/>
      <name val="Calibri"/>
      <family val="2"/>
      <scheme val="minor"/>
    </font>
    <font>
      <b/>
      <i/>
      <sz val="14"/>
      <color theme="1"/>
      <name val="Calibri"/>
      <family val="2"/>
      <scheme val="minor"/>
    </font>
    <font>
      <b/>
      <sz val="14"/>
      <color rgb="FF0070C0"/>
      <name val="Calibri"/>
      <family val="2"/>
      <scheme val="minor"/>
    </font>
    <font>
      <i/>
      <sz val="11"/>
      <color theme="1"/>
      <name val="Calibri"/>
      <family val="2"/>
      <scheme val="minor"/>
    </font>
    <font>
      <sz val="9"/>
      <color indexed="81"/>
      <name val="Tahoma"/>
      <family val="2"/>
    </font>
    <font>
      <b/>
      <sz val="9"/>
      <color indexed="81"/>
      <name val="Tahoma"/>
      <family val="2"/>
    </font>
    <font>
      <b/>
      <i/>
      <sz val="11"/>
      <color theme="1"/>
      <name val="Calibri"/>
      <family val="2"/>
      <scheme val="minor"/>
    </font>
    <font>
      <b/>
      <i/>
      <sz val="10"/>
      <color theme="1"/>
      <name val="Calibri"/>
      <family val="2"/>
      <scheme val="minor"/>
    </font>
    <font>
      <b/>
      <sz val="12"/>
      <name val="Calibri"/>
      <family val="2"/>
      <scheme val="minor"/>
    </font>
    <font>
      <sz val="11"/>
      <name val="Calibri"/>
      <family val="2"/>
      <scheme val="minor"/>
    </font>
    <font>
      <b/>
      <sz val="11"/>
      <name val="Calibri"/>
      <family val="2"/>
      <scheme val="minor"/>
    </font>
    <font>
      <sz val="11"/>
      <color rgb="FFFF0000"/>
      <name val="Calibri"/>
      <family val="2"/>
      <scheme val="minor"/>
    </font>
    <font>
      <sz val="11"/>
      <color rgb="FF0070C0"/>
      <name val="Calibri"/>
      <family val="2"/>
      <scheme val="minor"/>
    </font>
    <font>
      <i/>
      <sz val="11"/>
      <color rgb="FFFF0000"/>
      <name val="Calibri"/>
      <family val="2"/>
      <scheme val="minor"/>
    </font>
    <font>
      <b/>
      <sz val="8"/>
      <color theme="1"/>
      <name val="Calibri"/>
      <family val="2"/>
      <scheme val="minor"/>
    </font>
    <font>
      <sz val="8"/>
      <color theme="1"/>
      <name val="Calibri"/>
      <family val="2"/>
      <scheme val="minor"/>
    </font>
    <font>
      <b/>
      <sz val="24"/>
      <color theme="1"/>
      <name val="Calibri"/>
      <family val="2"/>
      <scheme val="minor"/>
    </font>
    <font>
      <b/>
      <sz val="11"/>
      <color rgb="FF0070C0"/>
      <name val="Calibri"/>
      <family val="2"/>
      <scheme val="minor"/>
    </font>
    <font>
      <b/>
      <sz val="10"/>
      <color indexed="81"/>
      <name val="Tahoma"/>
      <family val="2"/>
    </font>
    <font>
      <b/>
      <sz val="11"/>
      <color indexed="81"/>
      <name val="Tahoma"/>
      <family val="2"/>
    </font>
    <font>
      <b/>
      <sz val="14"/>
      <color theme="0"/>
      <name val="Calibri"/>
      <family val="2"/>
      <scheme val="minor"/>
    </font>
    <font>
      <b/>
      <sz val="14"/>
      <color rgb="FFFFFF00"/>
      <name val="Calibri"/>
      <family val="2"/>
      <scheme val="minor"/>
    </font>
    <font>
      <b/>
      <sz val="11"/>
      <color rgb="FFFFFF00"/>
      <name val="Calibri"/>
      <family val="2"/>
      <scheme val="minor"/>
    </font>
    <font>
      <b/>
      <sz val="12"/>
      <color rgb="FFFFFF00"/>
      <name val="Calibri"/>
      <family val="2"/>
      <scheme val="minor"/>
    </font>
    <font>
      <b/>
      <sz val="22"/>
      <color rgb="FF0070C0"/>
      <name val="Calibri"/>
      <family val="2"/>
      <scheme val="minor"/>
    </font>
    <font>
      <b/>
      <sz val="18"/>
      <color rgb="FF0070C0"/>
      <name val="Calibri"/>
      <family val="2"/>
      <scheme val="minor"/>
    </font>
    <font>
      <b/>
      <sz val="16"/>
      <color rgb="FF0070C0"/>
      <name val="Calibri"/>
      <family val="2"/>
      <scheme val="minor"/>
    </font>
    <font>
      <b/>
      <sz val="12"/>
      <color rgb="FFFF0000"/>
      <name val="Calibri"/>
      <family val="2"/>
      <scheme val="minor"/>
    </font>
    <font>
      <b/>
      <sz val="14"/>
      <color theme="1"/>
      <name val="Calibri"/>
      <family val="2"/>
    </font>
    <font>
      <b/>
      <sz val="11"/>
      <color rgb="FFFF0000"/>
      <name val="Calibri"/>
      <family val="2"/>
      <scheme val="minor"/>
    </font>
    <font>
      <i/>
      <sz val="12"/>
      <color theme="1"/>
      <name val="Calibri"/>
      <family val="2"/>
      <scheme val="minor"/>
    </font>
    <font>
      <b/>
      <u/>
      <sz val="14"/>
      <color theme="1"/>
      <name val="Calibri"/>
      <family val="2"/>
      <scheme val="minor"/>
    </font>
    <font>
      <b/>
      <sz val="14"/>
      <color rgb="FFFF0000"/>
      <name val="Calibri"/>
      <family val="2"/>
      <scheme val="minor"/>
    </font>
    <font>
      <b/>
      <u/>
      <sz val="16"/>
      <color theme="1"/>
      <name val="Calibri"/>
      <family val="2"/>
      <scheme val="minor"/>
    </font>
    <font>
      <b/>
      <u/>
      <sz val="11"/>
      <color theme="1"/>
      <name val="Calibri"/>
      <family val="2"/>
      <scheme val="minor"/>
    </font>
    <font>
      <b/>
      <u/>
      <sz val="18"/>
      <color theme="1"/>
      <name val="Calibri"/>
      <family val="2"/>
      <scheme val="minor"/>
    </font>
    <font>
      <sz val="8"/>
      <name val="Calibri"/>
      <family val="2"/>
      <scheme val="minor"/>
    </font>
    <font>
      <b/>
      <sz val="10"/>
      <color rgb="FF0070C0"/>
      <name val="Calibri"/>
      <family val="2"/>
      <scheme val="minor"/>
    </font>
    <font>
      <b/>
      <i/>
      <sz val="16"/>
      <color rgb="FF00B050"/>
      <name val="Calibri"/>
      <family val="2"/>
      <scheme val="minor"/>
    </font>
    <font>
      <b/>
      <sz val="16"/>
      <color rgb="FF00B050"/>
      <name val="Calibri"/>
      <family val="2"/>
      <scheme val="minor"/>
    </font>
    <font>
      <i/>
      <sz val="11"/>
      <color rgb="FF0070C0"/>
      <name val="Calibri"/>
      <family val="2"/>
      <scheme val="minor"/>
    </font>
    <font>
      <u/>
      <sz val="11"/>
      <color theme="1"/>
      <name val="Calibri"/>
      <family val="2"/>
      <scheme val="minor"/>
    </font>
    <font>
      <b/>
      <sz val="20"/>
      <name val="Calibri"/>
      <family val="2"/>
      <scheme val="minor"/>
    </font>
    <font>
      <b/>
      <i/>
      <sz val="11"/>
      <color rgb="FF7030A0"/>
      <name val="Calibri"/>
      <family val="2"/>
      <scheme val="minor"/>
    </font>
    <font>
      <b/>
      <sz val="14"/>
      <color rgb="FF00B050"/>
      <name val="Calibri"/>
      <family val="2"/>
      <scheme val="minor"/>
    </font>
    <font>
      <b/>
      <i/>
      <sz val="14"/>
      <color rgb="FFFF0000"/>
      <name val="Calibri"/>
      <family val="2"/>
      <scheme val="minor"/>
    </font>
    <font>
      <sz val="11"/>
      <color rgb="FF7030A0"/>
      <name val="Calibri"/>
      <family val="2"/>
      <scheme val="minor"/>
    </font>
    <font>
      <sz val="11"/>
      <color rgb="FF00B050"/>
      <name val="Calibri"/>
      <family val="2"/>
      <scheme val="minor"/>
    </font>
    <font>
      <i/>
      <sz val="12"/>
      <color rgb="FFFF0000"/>
      <name val="Calibri"/>
      <family val="2"/>
      <scheme val="minor"/>
    </font>
  </fonts>
  <fills count="19">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002060"/>
        <bgColor indexed="64"/>
      </patternFill>
    </fill>
    <fill>
      <patternFill patternType="solid">
        <fgColor theme="0" tint="-0.249977111117893"/>
        <bgColor indexed="64"/>
      </patternFill>
    </fill>
    <fill>
      <patternFill patternType="solid">
        <fgColor rgb="FFFFFF99"/>
        <bgColor indexed="64"/>
      </patternFill>
    </fill>
    <fill>
      <patternFill patternType="solid">
        <fgColor theme="9"/>
        <bgColor indexed="64"/>
      </patternFill>
    </fill>
    <fill>
      <patternFill patternType="solid">
        <fgColor theme="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6" tint="0.59999389629810485"/>
        <bgColor indexed="64"/>
      </patternFill>
    </fill>
  </fills>
  <borders count="114">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medium">
        <color auto="1"/>
      </left>
      <right/>
      <top style="medium">
        <color auto="1"/>
      </top>
      <bottom/>
      <diagonal/>
    </border>
    <border>
      <left style="hair">
        <color auto="1"/>
      </left>
      <right/>
      <top style="hair">
        <color auto="1"/>
      </top>
      <bottom style="hair">
        <color auto="1"/>
      </bottom>
      <diagonal/>
    </border>
    <border>
      <left style="hair">
        <color auto="1"/>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
      <left/>
      <right style="hair">
        <color auto="1"/>
      </right>
      <top style="thin">
        <color auto="1"/>
      </top>
      <bottom style="hair">
        <color auto="1"/>
      </bottom>
      <diagonal/>
    </border>
    <border>
      <left/>
      <right style="hair">
        <color auto="1"/>
      </right>
      <top style="hair">
        <color auto="1"/>
      </top>
      <bottom style="hair">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hair">
        <color auto="1"/>
      </left>
      <right/>
      <top style="thin">
        <color auto="1"/>
      </top>
      <bottom style="hair">
        <color auto="1"/>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hair">
        <color auto="1"/>
      </left>
      <right style="hair">
        <color auto="1"/>
      </right>
      <top/>
      <bottom style="hair">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
      <left style="thin">
        <color auto="1"/>
      </left>
      <right style="thin">
        <color auto="1"/>
      </right>
      <top style="thin">
        <color auto="1"/>
      </top>
      <bottom style="thin">
        <color auto="1"/>
      </bottom>
      <diagonal/>
    </border>
    <border>
      <left style="medium">
        <color auto="1"/>
      </left>
      <right/>
      <top style="hair">
        <color auto="1"/>
      </top>
      <bottom style="hair">
        <color auto="1"/>
      </bottom>
      <diagonal/>
    </border>
    <border>
      <left/>
      <right/>
      <top style="thin">
        <color auto="1"/>
      </top>
      <bottom style="hair">
        <color auto="1"/>
      </bottom>
      <diagonal/>
    </border>
    <border>
      <left/>
      <right style="hair">
        <color auto="1"/>
      </right>
      <top/>
      <bottom style="hair">
        <color auto="1"/>
      </bottom>
      <diagonal/>
    </border>
    <border>
      <left style="hair">
        <color auto="1"/>
      </left>
      <right/>
      <top/>
      <bottom style="hair">
        <color auto="1"/>
      </bottom>
      <diagonal/>
    </border>
    <border>
      <left style="thin">
        <color auto="1"/>
      </left>
      <right style="hair">
        <color auto="1"/>
      </right>
      <top style="hair">
        <color auto="1"/>
      </top>
      <bottom/>
      <diagonal/>
    </border>
    <border>
      <left/>
      <right/>
      <top style="hair">
        <color auto="1"/>
      </top>
      <bottom/>
      <diagonal/>
    </border>
    <border>
      <left style="hair">
        <color auto="1"/>
      </left>
      <right style="thin">
        <color auto="1"/>
      </right>
      <top style="hair">
        <color auto="1"/>
      </top>
      <bottom/>
      <diagonal/>
    </border>
    <border>
      <left style="medium">
        <color auto="1"/>
      </left>
      <right/>
      <top/>
      <bottom style="hair">
        <color auto="1"/>
      </bottom>
      <diagonal/>
    </border>
    <border>
      <left style="medium">
        <color auto="1"/>
      </left>
      <right style="hair">
        <color auto="1"/>
      </right>
      <top/>
      <bottom style="hair">
        <color auto="1"/>
      </bottom>
      <diagonal/>
    </border>
    <border>
      <left style="hair">
        <color auto="1"/>
      </left>
      <right style="medium">
        <color auto="1"/>
      </right>
      <top/>
      <bottom style="hair">
        <color auto="1"/>
      </bottom>
      <diagonal/>
    </border>
    <border>
      <left style="medium">
        <color auto="1"/>
      </left>
      <right/>
      <top style="hair">
        <color auto="1"/>
      </top>
      <bottom style="medium">
        <color auto="1"/>
      </bottom>
      <diagonal/>
    </border>
    <border>
      <left/>
      <right style="thin">
        <color auto="1"/>
      </right>
      <top style="thin">
        <color auto="1"/>
      </top>
      <bottom style="hair">
        <color auto="1"/>
      </bottom>
      <diagonal/>
    </border>
    <border>
      <left/>
      <right/>
      <top style="hair">
        <color auto="1"/>
      </top>
      <bottom style="hair">
        <color auto="1"/>
      </bottom>
      <diagonal/>
    </border>
    <border>
      <left style="medium">
        <color auto="1"/>
      </left>
      <right style="medium">
        <color auto="1"/>
      </right>
      <top/>
      <bottom style="hair">
        <color auto="1"/>
      </bottom>
      <diagonal/>
    </border>
    <border>
      <left style="hair">
        <color auto="1"/>
      </left>
      <right style="hair">
        <color auto="1"/>
      </right>
      <top/>
      <bottom/>
      <diagonal/>
    </border>
    <border>
      <left/>
      <right/>
      <top/>
      <bottom style="hair">
        <color auto="1"/>
      </bottom>
      <diagonal/>
    </border>
    <border>
      <left/>
      <right style="thin">
        <color auto="1"/>
      </right>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style="hair">
        <color auto="1"/>
      </left>
      <right/>
      <top/>
      <bottom/>
      <diagonal/>
    </border>
    <border>
      <left/>
      <right/>
      <top style="thin">
        <color auto="1"/>
      </top>
      <bottom style="medium">
        <color auto="1"/>
      </bottom>
      <diagonal/>
    </border>
    <border>
      <left style="hair">
        <color auto="1"/>
      </left>
      <right style="hair">
        <color auto="1"/>
      </right>
      <top style="hair">
        <color auto="1"/>
      </top>
      <bottom/>
      <diagonal/>
    </border>
    <border>
      <left style="thin">
        <color indexed="64"/>
      </left>
      <right style="thin">
        <color indexed="64"/>
      </right>
      <top/>
      <bottom/>
      <diagonal/>
    </border>
    <border>
      <left style="thin">
        <color indexed="64"/>
      </left>
      <right style="medium">
        <color auto="1"/>
      </right>
      <top style="thin">
        <color auto="1"/>
      </top>
      <bottom style="hair">
        <color auto="1"/>
      </bottom>
      <diagonal/>
    </border>
    <border>
      <left style="thin">
        <color indexed="64"/>
      </left>
      <right style="medium">
        <color auto="1"/>
      </right>
      <top style="hair">
        <color auto="1"/>
      </top>
      <bottom style="hair">
        <color auto="1"/>
      </bottom>
      <diagonal/>
    </border>
    <border>
      <left style="hair">
        <color auto="1"/>
      </left>
      <right/>
      <top style="thin">
        <color auto="1"/>
      </top>
      <bottom style="thin">
        <color auto="1"/>
      </bottom>
      <diagonal/>
    </border>
    <border>
      <left/>
      <right style="hair">
        <color auto="1"/>
      </right>
      <top style="hair">
        <color auto="1"/>
      </top>
      <bottom style="thin">
        <color auto="1"/>
      </bottom>
      <diagonal/>
    </border>
    <border>
      <left/>
      <right style="hair">
        <color auto="1"/>
      </right>
      <top style="hair">
        <color auto="1"/>
      </top>
      <bottom/>
      <diagonal/>
    </border>
    <border>
      <left style="hair">
        <color auto="1"/>
      </left>
      <right/>
      <top style="hair">
        <color auto="1"/>
      </top>
      <bottom style="thin">
        <color auto="1"/>
      </bottom>
      <diagonal/>
    </border>
    <border>
      <left style="hair">
        <color auto="1"/>
      </left>
      <right/>
      <top style="hair">
        <color auto="1"/>
      </top>
      <bottom/>
      <diagonal/>
    </border>
    <border>
      <left style="thin">
        <color auto="1"/>
      </left>
      <right style="thin">
        <color auto="1"/>
      </right>
      <top/>
      <bottom style="hair">
        <color auto="1"/>
      </bottom>
      <diagonal/>
    </border>
    <border>
      <left/>
      <right style="hair">
        <color auto="1"/>
      </right>
      <top style="thin">
        <color auto="1"/>
      </top>
      <bottom style="thin">
        <color auto="1"/>
      </bottom>
      <diagonal/>
    </border>
    <border>
      <left style="medium">
        <color indexed="64"/>
      </left>
      <right style="hair">
        <color auto="1"/>
      </right>
      <top style="thin">
        <color auto="1"/>
      </top>
      <bottom style="hair">
        <color auto="1"/>
      </bottom>
      <diagonal/>
    </border>
    <border>
      <left style="medium">
        <color indexed="64"/>
      </left>
      <right style="hair">
        <color auto="1"/>
      </right>
      <top style="hair">
        <color auto="1"/>
      </top>
      <bottom/>
      <diagonal/>
    </border>
    <border>
      <left style="medium">
        <color indexed="64"/>
      </left>
      <right style="hair">
        <color auto="1"/>
      </right>
      <top style="hair">
        <color auto="1"/>
      </top>
      <bottom style="medium">
        <color indexed="64"/>
      </bottom>
      <diagonal/>
    </border>
    <border>
      <left/>
      <right style="hair">
        <color auto="1"/>
      </right>
      <top style="hair">
        <color auto="1"/>
      </top>
      <bottom style="medium">
        <color indexed="64"/>
      </bottom>
      <diagonal/>
    </border>
    <border>
      <left style="hair">
        <color auto="1"/>
      </left>
      <right style="hair">
        <color auto="1"/>
      </right>
      <top/>
      <bottom style="medium">
        <color indexed="64"/>
      </bottom>
      <diagonal/>
    </border>
    <border>
      <left style="hair">
        <color auto="1"/>
      </left>
      <right style="hair">
        <color auto="1"/>
      </right>
      <top style="hair">
        <color auto="1"/>
      </top>
      <bottom style="medium">
        <color indexed="64"/>
      </bottom>
      <diagonal/>
    </border>
    <border>
      <left style="hair">
        <color auto="1"/>
      </left>
      <right style="thin">
        <color auto="1"/>
      </right>
      <top style="hair">
        <color auto="1"/>
      </top>
      <bottom style="medium">
        <color indexed="64"/>
      </bottom>
      <diagonal/>
    </border>
    <border>
      <left style="hair">
        <color auto="1"/>
      </left>
      <right style="medium">
        <color auto="1"/>
      </right>
      <top style="hair">
        <color auto="1"/>
      </top>
      <bottom style="medium">
        <color indexed="64"/>
      </bottom>
      <diagonal/>
    </border>
    <border>
      <left/>
      <right/>
      <top style="medium">
        <color indexed="64"/>
      </top>
      <bottom style="hair">
        <color auto="1"/>
      </bottom>
      <diagonal/>
    </border>
    <border>
      <left style="hair">
        <color auto="1"/>
      </left>
      <right style="thin">
        <color auto="1"/>
      </right>
      <top style="medium">
        <color indexed="64"/>
      </top>
      <bottom style="hair">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auto="1"/>
      </left>
      <right style="medium">
        <color auto="1"/>
      </right>
      <top style="medium">
        <color auto="1"/>
      </top>
      <bottom style="hair">
        <color auto="1"/>
      </bottom>
      <diagonal/>
    </border>
    <border>
      <left style="medium">
        <color auto="1"/>
      </left>
      <right style="medium">
        <color auto="1"/>
      </right>
      <top style="hair">
        <color auto="1"/>
      </top>
      <bottom style="hair">
        <color auto="1"/>
      </bottom>
      <diagonal/>
    </border>
    <border>
      <left style="medium">
        <color auto="1"/>
      </left>
      <right style="medium">
        <color auto="1"/>
      </right>
      <top style="hair">
        <color auto="1"/>
      </top>
      <bottom style="medium">
        <color auto="1"/>
      </bottom>
      <diagonal/>
    </border>
    <border>
      <left style="medium">
        <color auto="1"/>
      </left>
      <right/>
      <top/>
      <bottom style="thin">
        <color auto="1"/>
      </bottom>
      <diagonal/>
    </border>
    <border>
      <left style="medium">
        <color auto="1"/>
      </left>
      <right style="medium">
        <color auto="1"/>
      </right>
      <top/>
      <bottom style="thin">
        <color auto="1"/>
      </bottom>
      <diagonal/>
    </border>
    <border>
      <left/>
      <right style="medium">
        <color indexed="64"/>
      </right>
      <top/>
      <bottom style="thin">
        <color auto="1"/>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432">
    <xf numFmtId="0" fontId="0" fillId="0" borderId="0" xfId="0"/>
    <xf numFmtId="0" fontId="0" fillId="0" borderId="0" xfId="0" applyAlignment="1">
      <alignment horizontal="center" vertical="center" wrapText="1"/>
    </xf>
    <xf numFmtId="44" fontId="0" fillId="0" borderId="0" xfId="1" applyFont="1" applyAlignment="1">
      <alignment horizontal="center" vertical="center"/>
    </xf>
    <xf numFmtId="0" fontId="0" fillId="0" borderId="0" xfId="0" applyAlignment="1">
      <alignment vertical="center"/>
    </xf>
    <xf numFmtId="44" fontId="0" fillId="0" borderId="0" xfId="0" applyNumberFormat="1"/>
    <xf numFmtId="0" fontId="6" fillId="0" borderId="0" xfId="0" applyFont="1"/>
    <xf numFmtId="0" fontId="4" fillId="0" borderId="0" xfId="0" applyFont="1"/>
    <xf numFmtId="0" fontId="8" fillId="0" borderId="0" xfId="0" applyFont="1"/>
    <xf numFmtId="0" fontId="9" fillId="0" borderId="0" xfId="0" applyFont="1"/>
    <xf numFmtId="0" fontId="0" fillId="0" borderId="0" xfId="0" applyAlignment="1">
      <alignment horizontal="center" vertical="center"/>
    </xf>
    <xf numFmtId="0" fontId="3" fillId="0" borderId="1" xfId="0" applyFont="1" applyBorder="1"/>
    <xf numFmtId="0" fontId="0" fillId="0" borderId="2" xfId="0" applyBorder="1"/>
    <xf numFmtId="0" fontId="0" fillId="0" borderId="3" xfId="0" applyBorder="1"/>
    <xf numFmtId="0" fontId="0" fillId="0" borderId="4" xfId="0" applyBorder="1"/>
    <xf numFmtId="0" fontId="0" fillId="0" borderId="4" xfId="0" applyBorder="1" applyAlignment="1">
      <alignment horizontal="center"/>
    </xf>
    <xf numFmtId="0" fontId="0" fillId="0" borderId="0" xfId="0" applyBorder="1"/>
    <xf numFmtId="0" fontId="0" fillId="0" borderId="5" xfId="0" applyBorder="1"/>
    <xf numFmtId="0" fontId="0" fillId="0" borderId="7" xfId="0" applyBorder="1"/>
    <xf numFmtId="0" fontId="0" fillId="0" borderId="8" xfId="0" applyBorder="1"/>
    <xf numFmtId="0" fontId="0" fillId="0" borderId="10" xfId="0" applyBorder="1" applyAlignment="1">
      <alignment horizontal="center" vertical="center"/>
    </xf>
    <xf numFmtId="164" fontId="0" fillId="0" borderId="10" xfId="1" applyNumberFormat="1" applyFont="1" applyBorder="1" applyAlignment="1">
      <alignment horizontal="center" vertical="center"/>
    </xf>
    <xf numFmtId="0" fontId="0" fillId="5" borderId="13" xfId="0" applyFill="1" applyBorder="1" applyAlignment="1">
      <alignment horizontal="center" vertical="center"/>
    </xf>
    <xf numFmtId="0" fontId="0" fillId="5" borderId="14" xfId="0" applyFill="1" applyBorder="1" applyAlignment="1">
      <alignment vertical="center"/>
    </xf>
    <xf numFmtId="0" fontId="11" fillId="5" borderId="14" xfId="0" applyFont="1" applyFill="1" applyBorder="1" applyAlignment="1">
      <alignment vertical="center" wrapText="1"/>
    </xf>
    <xf numFmtId="0" fontId="0" fillId="5" borderId="14" xfId="0" applyFill="1" applyBorder="1" applyAlignment="1">
      <alignment horizontal="center" vertical="center"/>
    </xf>
    <xf numFmtId="3" fontId="0" fillId="5" borderId="14" xfId="0" applyNumberFormat="1" applyFill="1" applyBorder="1" applyAlignment="1">
      <alignment horizontal="center" vertical="center"/>
    </xf>
    <xf numFmtId="44" fontId="0" fillId="5" borderId="14" xfId="1" applyNumberFormat="1" applyFont="1" applyFill="1" applyBorder="1" applyAlignment="1">
      <alignment horizontal="center" vertical="center"/>
    </xf>
    <xf numFmtId="44" fontId="0" fillId="5" borderId="14" xfId="1" applyFont="1" applyFill="1" applyBorder="1" applyAlignment="1">
      <alignment horizontal="center" vertical="center"/>
    </xf>
    <xf numFmtId="164" fontId="3" fillId="5" borderId="14" xfId="1" applyNumberFormat="1" applyFont="1" applyFill="1" applyBorder="1" applyAlignment="1">
      <alignment horizontal="center" vertical="center"/>
    </xf>
    <xf numFmtId="0" fontId="11" fillId="5" borderId="15" xfId="0" applyFont="1" applyFill="1" applyBorder="1" applyAlignment="1">
      <alignment vertical="center" wrapText="1"/>
    </xf>
    <xf numFmtId="0" fontId="11" fillId="0" borderId="0" xfId="0" applyFont="1" applyAlignment="1">
      <alignment vertical="center" wrapText="1"/>
    </xf>
    <xf numFmtId="3" fontId="0" fillId="0" borderId="0" xfId="0" applyNumberFormat="1" applyAlignment="1">
      <alignment horizontal="center" vertical="center"/>
    </xf>
    <xf numFmtId="44" fontId="0" fillId="0" borderId="0" xfId="1" applyNumberFormat="1" applyFont="1" applyAlignment="1">
      <alignment horizontal="center" vertical="center"/>
    </xf>
    <xf numFmtId="164" fontId="0" fillId="0" borderId="0" xfId="1" applyNumberFormat="1" applyFont="1" applyAlignment="1">
      <alignment horizontal="center" vertical="center"/>
    </xf>
    <xf numFmtId="44" fontId="7" fillId="0" borderId="0" xfId="1" applyNumberFormat="1" applyFont="1" applyAlignment="1">
      <alignment horizontal="right" vertical="center"/>
    </xf>
    <xf numFmtId="164" fontId="6" fillId="0" borderId="0" xfId="1" applyNumberFormat="1" applyFont="1" applyAlignment="1">
      <alignment horizontal="center" vertical="center"/>
    </xf>
    <xf numFmtId="0" fontId="0" fillId="0" borderId="0" xfId="0" applyAlignment="1">
      <alignment horizontal="center"/>
    </xf>
    <xf numFmtId="0" fontId="0" fillId="0" borderId="10" xfId="0" applyFill="1" applyBorder="1" applyAlignment="1">
      <alignment horizontal="center" vertical="center"/>
    </xf>
    <xf numFmtId="0" fontId="0" fillId="0" borderId="0" xfId="0" applyBorder="1" applyAlignment="1">
      <alignment vertical="center" wrapText="1"/>
    </xf>
    <xf numFmtId="0" fontId="0" fillId="0" borderId="0" xfId="0" applyFill="1" applyBorder="1"/>
    <xf numFmtId="0" fontId="3" fillId="0" borderId="0" xfId="0" applyFont="1" applyFill="1" applyBorder="1" applyAlignment="1"/>
    <xf numFmtId="0" fontId="0" fillId="0" borderId="16" xfId="0" applyBorder="1"/>
    <xf numFmtId="0" fontId="0" fillId="0" borderId="6" xfId="0" applyBorder="1" applyAlignment="1">
      <alignment horizontal="center"/>
    </xf>
    <xf numFmtId="0" fontId="16" fillId="5" borderId="15" xfId="0" applyFont="1" applyFill="1" applyBorder="1" applyAlignment="1">
      <alignment vertical="center" wrapText="1"/>
    </xf>
    <xf numFmtId="0" fontId="0" fillId="0" borderId="4" xfId="0" applyFill="1" applyBorder="1" applyAlignment="1">
      <alignment horizontal="center"/>
    </xf>
    <xf numFmtId="0" fontId="0" fillId="0" borderId="19" xfId="0" applyBorder="1"/>
    <xf numFmtId="0" fontId="0" fillId="0" borderId="6" xfId="0" applyBorder="1"/>
    <xf numFmtId="0" fontId="0" fillId="0" borderId="0" xfId="0" applyBorder="1" applyAlignment="1">
      <alignment horizontal="center" vertical="center" wrapText="1"/>
    </xf>
    <xf numFmtId="0" fontId="0" fillId="0" borderId="17" xfId="0" applyBorder="1"/>
    <xf numFmtId="0" fontId="0" fillId="0" borderId="24" xfId="0" applyBorder="1"/>
    <xf numFmtId="0" fontId="0" fillId="0" borderId="27" xfId="0" applyBorder="1"/>
    <xf numFmtId="0" fontId="0" fillId="0" borderId="21" xfId="0" applyBorder="1"/>
    <xf numFmtId="0" fontId="0" fillId="0" borderId="20" xfId="0" applyBorder="1"/>
    <xf numFmtId="164" fontId="4" fillId="0" borderId="0" xfId="1" applyNumberFormat="1" applyFont="1" applyAlignment="1">
      <alignment horizontal="center" vertical="center"/>
    </xf>
    <xf numFmtId="3" fontId="10" fillId="0" borderId="0" xfId="0" applyNumberFormat="1" applyFont="1" applyAlignment="1">
      <alignment horizontal="center" vertical="center"/>
    </xf>
    <xf numFmtId="0" fontId="7" fillId="0" borderId="0" xfId="0" applyFont="1"/>
    <xf numFmtId="0" fontId="3" fillId="0" borderId="0" xfId="0" applyFont="1"/>
    <xf numFmtId="0" fontId="20" fillId="0" borderId="0" xfId="0" applyFont="1"/>
    <xf numFmtId="0" fontId="0" fillId="0" borderId="0" xfId="0" applyAlignment="1">
      <alignment horizontal="center"/>
    </xf>
    <xf numFmtId="0" fontId="0" fillId="0" borderId="0" xfId="0" applyFont="1"/>
    <xf numFmtId="0" fontId="0" fillId="0" borderId="2" xfId="0" applyFont="1" applyBorder="1"/>
    <xf numFmtId="0" fontId="0" fillId="0" borderId="3" xfId="0" applyFont="1" applyBorder="1"/>
    <xf numFmtId="0" fontId="0" fillId="0" borderId="0" xfId="0" applyFont="1" applyBorder="1"/>
    <xf numFmtId="0" fontId="0" fillId="0" borderId="5" xfId="0" applyFont="1" applyBorder="1"/>
    <xf numFmtId="0" fontId="0" fillId="0" borderId="1" xfId="0" applyFont="1" applyBorder="1" applyAlignment="1">
      <alignment vertical="center"/>
    </xf>
    <xf numFmtId="0" fontId="0" fillId="0" borderId="4" xfId="0" applyFont="1" applyBorder="1" applyAlignment="1">
      <alignment vertical="center"/>
    </xf>
    <xf numFmtId="0" fontId="0" fillId="0" borderId="6" xfId="0" applyFont="1" applyBorder="1" applyAlignment="1">
      <alignment vertical="center"/>
    </xf>
    <xf numFmtId="0" fontId="6" fillId="0" borderId="0" xfId="0" applyFont="1" applyFill="1" applyBorder="1" applyAlignment="1">
      <alignment vertical="center"/>
    </xf>
    <xf numFmtId="0" fontId="0" fillId="0" borderId="4" xfId="0" applyFont="1" applyFill="1" applyBorder="1" applyAlignment="1">
      <alignment vertical="center"/>
    </xf>
    <xf numFmtId="0" fontId="0" fillId="0" borderId="35" xfId="0" applyFont="1" applyFill="1" applyBorder="1" applyAlignment="1">
      <alignment vertical="center"/>
    </xf>
    <xf numFmtId="0" fontId="0" fillId="0" borderId="36" xfId="0" applyFont="1" applyFill="1" applyBorder="1" applyAlignment="1">
      <alignment vertical="center"/>
    </xf>
    <xf numFmtId="0" fontId="0" fillId="0" borderId="18" xfId="0" applyBorder="1"/>
    <xf numFmtId="0" fontId="6" fillId="0" borderId="27" xfId="0" applyFont="1" applyBorder="1" applyAlignment="1">
      <alignment horizontal="center" vertical="center"/>
    </xf>
    <xf numFmtId="0" fontId="10" fillId="0" borderId="27" xfId="0" applyFont="1" applyBorder="1"/>
    <xf numFmtId="44" fontId="6" fillId="0" borderId="27" xfId="1" applyFont="1" applyBorder="1" applyAlignment="1">
      <alignment vertical="center"/>
    </xf>
    <xf numFmtId="0" fontId="4" fillId="0" borderId="24" xfId="0" applyFont="1" applyBorder="1" applyAlignment="1">
      <alignment horizontal="center" vertical="center"/>
    </xf>
    <xf numFmtId="164" fontId="4" fillId="0" borderId="27" xfId="0" applyNumberFormat="1" applyFont="1" applyBorder="1"/>
    <xf numFmtId="164" fontId="0" fillId="0" borderId="0" xfId="1" applyNumberFormat="1" applyFont="1" applyAlignment="1">
      <alignment horizontal="center" vertical="center"/>
    </xf>
    <xf numFmtId="164" fontId="7" fillId="0" borderId="0" xfId="1" applyNumberFormat="1" applyFont="1" applyFill="1" applyBorder="1"/>
    <xf numFmtId="0" fontId="7" fillId="0" borderId="0" xfId="0" applyFont="1" applyFill="1" applyBorder="1" applyAlignment="1">
      <alignment horizontal="right"/>
    </xf>
    <xf numFmtId="0" fontId="0" fillId="0" borderId="1" xfId="0" applyBorder="1"/>
    <xf numFmtId="0" fontId="6" fillId="0" borderId="0" xfId="0" applyFont="1" applyFill="1" applyBorder="1"/>
    <xf numFmtId="0" fontId="6" fillId="0" borderId="0" xfId="0" applyFont="1" applyAlignment="1">
      <alignment horizontal="center" vertical="center"/>
    </xf>
    <xf numFmtId="0" fontId="0" fillId="0" borderId="0" xfId="0" applyFont="1" applyAlignment="1">
      <alignment horizontal="center" vertical="center"/>
    </xf>
    <xf numFmtId="0" fontId="6" fillId="0" borderId="0" xfId="0" applyFont="1" applyAlignment="1">
      <alignment horizontal="left" vertical="center"/>
    </xf>
    <xf numFmtId="0" fontId="28" fillId="0" borderId="10" xfId="0" applyFont="1" applyFill="1" applyBorder="1" applyAlignment="1">
      <alignment vertical="center" wrapText="1"/>
    </xf>
    <xf numFmtId="0" fontId="4" fillId="0" borderId="10" xfId="0" applyFont="1" applyFill="1" applyBorder="1" applyAlignment="1">
      <alignment horizontal="center" vertical="center"/>
    </xf>
    <xf numFmtId="0" fontId="16" fillId="0" borderId="10" xfId="0" applyFont="1" applyFill="1" applyBorder="1" applyAlignment="1">
      <alignment vertical="center" wrapText="1"/>
    </xf>
    <xf numFmtId="3" fontId="0" fillId="0" borderId="10" xfId="0" applyNumberFormat="1" applyFill="1" applyBorder="1" applyAlignment="1">
      <alignment horizontal="center" vertical="center"/>
    </xf>
    <xf numFmtId="164" fontId="0" fillId="0" borderId="10" xfId="1" applyNumberFormat="1" applyFont="1" applyFill="1" applyBorder="1" applyAlignment="1">
      <alignment horizontal="center" vertical="center"/>
    </xf>
    <xf numFmtId="0" fontId="6" fillId="0" borderId="10" xfId="0" applyFont="1" applyBorder="1" applyAlignment="1">
      <alignment horizontal="left" vertical="center" wrapText="1"/>
    </xf>
    <xf numFmtId="0" fontId="4" fillId="0" borderId="50" xfId="0" applyFont="1" applyBorder="1" applyAlignment="1"/>
    <xf numFmtId="0" fontId="4" fillId="0" borderId="29" xfId="0" applyFont="1" applyBorder="1" applyAlignment="1"/>
    <xf numFmtId="0" fontId="10" fillId="0" borderId="51" xfId="0" applyFont="1" applyBorder="1" applyAlignment="1"/>
    <xf numFmtId="0" fontId="10" fillId="0" borderId="30" xfId="0" applyFont="1" applyBorder="1" applyAlignment="1"/>
    <xf numFmtId="0" fontId="4" fillId="0" borderId="51" xfId="0" applyFont="1" applyBorder="1" applyAlignment="1">
      <alignment vertical="center"/>
    </xf>
    <xf numFmtId="0" fontId="4" fillId="0" borderId="30" xfId="0" applyFont="1" applyBorder="1" applyAlignment="1">
      <alignment vertical="center"/>
    </xf>
    <xf numFmtId="0" fontId="6" fillId="0" borderId="51" xfId="0" applyFont="1" applyBorder="1" applyAlignment="1">
      <alignment vertical="center" wrapText="1"/>
    </xf>
    <xf numFmtId="0" fontId="6" fillId="0" borderId="30" xfId="0" applyFont="1" applyBorder="1" applyAlignment="1">
      <alignment vertical="center" wrapText="1"/>
    </xf>
    <xf numFmtId="164" fontId="6" fillId="0" borderId="51" xfId="0" applyNumberFormat="1" applyFont="1" applyBorder="1" applyAlignment="1">
      <alignment vertical="center"/>
    </xf>
    <xf numFmtId="164" fontId="6" fillId="0" borderId="30" xfId="0" applyNumberFormat="1" applyFont="1" applyBorder="1" applyAlignment="1">
      <alignment vertical="center"/>
    </xf>
    <xf numFmtId="165" fontId="6" fillId="0" borderId="28" xfId="2" applyNumberFormat="1" applyFont="1" applyBorder="1" applyAlignment="1">
      <alignment horizontal="center" vertical="center"/>
    </xf>
    <xf numFmtId="0" fontId="4" fillId="0" borderId="10" xfId="0" applyFont="1" applyBorder="1" applyAlignment="1">
      <alignment horizontal="center" vertical="center"/>
    </xf>
    <xf numFmtId="0" fontId="15" fillId="5" borderId="14" xfId="0" applyFont="1" applyFill="1" applyBorder="1" applyAlignment="1">
      <alignment vertical="center" wrapText="1"/>
    </xf>
    <xf numFmtId="0" fontId="4" fillId="0" borderId="9" xfId="0" applyFont="1" applyBorder="1" applyAlignment="1">
      <alignment horizontal="center" vertical="center"/>
    </xf>
    <xf numFmtId="0" fontId="0" fillId="0" borderId="0" xfId="0" applyFill="1"/>
    <xf numFmtId="0" fontId="6" fillId="0" borderId="20" xfId="0" applyFont="1" applyBorder="1" applyAlignment="1">
      <alignment horizontal="right"/>
    </xf>
    <xf numFmtId="0" fontId="6" fillId="0" borderId="16" xfId="0" applyFont="1" applyBorder="1" applyAlignment="1">
      <alignment horizontal="right"/>
    </xf>
    <xf numFmtId="2" fontId="6" fillId="0" borderId="24" xfId="0" applyNumberFormat="1" applyFont="1" applyBorder="1" applyAlignment="1">
      <alignment horizontal="center"/>
    </xf>
    <xf numFmtId="167" fontId="3" fillId="0" borderId="28" xfId="0" applyNumberFormat="1" applyFont="1" applyBorder="1" applyAlignment="1">
      <alignment horizontal="center"/>
    </xf>
    <xf numFmtId="0" fontId="6" fillId="0" borderId="10" xfId="0" applyFont="1" applyBorder="1" applyAlignment="1">
      <alignment vertical="center" wrapText="1"/>
    </xf>
    <xf numFmtId="0" fontId="3" fillId="5" borderId="13" xfId="0" applyFont="1" applyFill="1" applyBorder="1" applyAlignment="1">
      <alignment horizontal="center" vertical="center"/>
    </xf>
    <xf numFmtId="0" fontId="3" fillId="5" borderId="14" xfId="0" applyFont="1" applyFill="1" applyBorder="1" applyAlignment="1">
      <alignment vertical="center"/>
    </xf>
    <xf numFmtId="0" fontId="6" fillId="5" borderId="14" xfId="0" applyFont="1" applyFill="1" applyBorder="1" applyAlignment="1">
      <alignment vertical="center" wrapText="1"/>
    </xf>
    <xf numFmtId="0" fontId="6" fillId="0" borderId="10" xfId="0" applyFont="1" applyFill="1" applyBorder="1" applyAlignment="1">
      <alignment vertical="center" wrapText="1"/>
    </xf>
    <xf numFmtId="0" fontId="6" fillId="0" borderId="10" xfId="0" applyFont="1" applyBorder="1" applyAlignment="1">
      <alignment wrapText="1"/>
    </xf>
    <xf numFmtId="9" fontId="0" fillId="0" borderId="0" xfId="2" applyFont="1"/>
    <xf numFmtId="0" fontId="6" fillId="0" borderId="0" xfId="0" applyFont="1" applyBorder="1"/>
    <xf numFmtId="0" fontId="3" fillId="3" borderId="0" xfId="0" applyFont="1" applyFill="1" applyBorder="1" applyAlignment="1">
      <alignment horizontal="center" vertical="center"/>
    </xf>
    <xf numFmtId="0" fontId="2" fillId="6" borderId="1"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3" xfId="0" applyFont="1" applyFill="1" applyBorder="1" applyAlignment="1">
      <alignment horizontal="center" vertical="center" wrapText="1"/>
    </xf>
    <xf numFmtId="9" fontId="0" fillId="0" borderId="24" xfId="2" applyFont="1" applyBorder="1"/>
    <xf numFmtId="9" fontId="0" fillId="0" borderId="27" xfId="2" applyFont="1" applyBorder="1"/>
    <xf numFmtId="9" fontId="0" fillId="0" borderId="28" xfId="2" applyFont="1" applyBorder="1"/>
    <xf numFmtId="9" fontId="0" fillId="0" borderId="0" xfId="2" applyFont="1" applyAlignment="1">
      <alignment horizontal="center"/>
    </xf>
    <xf numFmtId="0" fontId="0" fillId="0" borderId="0" xfId="0" applyAlignment="1">
      <alignment wrapText="1"/>
    </xf>
    <xf numFmtId="0" fontId="35" fillId="0" borderId="0" xfId="0" applyFont="1"/>
    <xf numFmtId="0" fontId="35" fillId="0" borderId="0" xfId="0" applyFont="1" applyBorder="1"/>
    <xf numFmtId="0" fontId="35" fillId="0" borderId="5" xfId="0" applyFont="1" applyBorder="1"/>
    <xf numFmtId="0" fontId="35" fillId="0" borderId="2" xfId="0" applyFont="1" applyBorder="1"/>
    <xf numFmtId="0" fontId="35" fillId="0" borderId="3" xfId="0" applyFont="1" applyBorder="1"/>
    <xf numFmtId="0" fontId="35" fillId="0" borderId="7" xfId="0" applyFont="1" applyBorder="1"/>
    <xf numFmtId="0" fontId="35" fillId="0" borderId="8" xfId="0" applyFont="1" applyBorder="1"/>
    <xf numFmtId="0" fontId="34" fillId="0" borderId="0" xfId="0" applyFont="1" applyFill="1" applyBorder="1" applyAlignment="1">
      <alignment vertical="center"/>
    </xf>
    <xf numFmtId="0" fontId="35" fillId="0" borderId="0" xfId="0" applyFont="1" applyAlignment="1">
      <alignment horizontal="center" vertical="center"/>
    </xf>
    <xf numFmtId="0" fontId="0" fillId="0" borderId="0" xfId="0" applyProtection="1">
      <protection locked="0"/>
    </xf>
    <xf numFmtId="0" fontId="0" fillId="0" borderId="0" xfId="0" applyProtection="1"/>
    <xf numFmtId="0" fontId="0" fillId="0" borderId="0" xfId="0" applyAlignment="1" applyProtection="1">
      <alignment horizontal="center" vertical="center" wrapText="1"/>
      <protection locked="0"/>
    </xf>
    <xf numFmtId="0" fontId="11" fillId="8" borderId="10" xfId="0" applyFont="1" applyFill="1" applyBorder="1" applyAlignment="1" applyProtection="1">
      <alignment vertical="center" wrapText="1"/>
      <protection locked="0"/>
    </xf>
    <xf numFmtId="0" fontId="4" fillId="2" borderId="1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xf>
    <xf numFmtId="0" fontId="4" fillId="0" borderId="9" xfId="0" applyFont="1" applyBorder="1" applyAlignment="1" applyProtection="1">
      <alignment vertical="center" wrapText="1"/>
    </xf>
    <xf numFmtId="0" fontId="4" fillId="0" borderId="10" xfId="0" applyFont="1" applyBorder="1" applyAlignment="1" applyProtection="1">
      <alignment horizontal="center" vertical="center"/>
    </xf>
    <xf numFmtId="0" fontId="0" fillId="0" borderId="10" xfId="0" applyBorder="1" applyAlignment="1" applyProtection="1">
      <alignment horizontal="center" vertical="center"/>
    </xf>
    <xf numFmtId="165" fontId="0" fillId="0" borderId="10" xfId="2" applyNumberFormat="1" applyFont="1" applyBorder="1" applyAlignment="1" applyProtection="1">
      <alignment horizontal="center" vertical="center"/>
    </xf>
    <xf numFmtId="0" fontId="0" fillId="5" borderId="13" xfId="0" applyFill="1" applyBorder="1" applyAlignment="1" applyProtection="1">
      <alignment horizontal="center" vertical="center"/>
    </xf>
    <xf numFmtId="0" fontId="0" fillId="5" borderId="14" xfId="0" applyFill="1" applyBorder="1" applyAlignment="1" applyProtection="1">
      <alignment vertical="center"/>
    </xf>
    <xf numFmtId="0" fontId="11" fillId="5" borderId="14" xfId="0" applyFont="1" applyFill="1" applyBorder="1" applyAlignment="1" applyProtection="1">
      <alignment vertical="center" wrapText="1"/>
    </xf>
    <xf numFmtId="0" fontId="0" fillId="5" borderId="14" xfId="0" applyFill="1" applyBorder="1" applyAlignment="1" applyProtection="1">
      <alignment horizontal="center" vertical="center"/>
    </xf>
    <xf numFmtId="3" fontId="0" fillId="5" borderId="14" xfId="0" applyNumberFormat="1" applyFill="1" applyBorder="1" applyAlignment="1" applyProtection="1">
      <alignment horizontal="center" vertical="center"/>
    </xf>
    <xf numFmtId="44" fontId="0" fillId="5" borderId="14" xfId="1" applyNumberFormat="1" applyFont="1" applyFill="1" applyBorder="1" applyAlignment="1" applyProtection="1">
      <alignment horizontal="center" vertical="center"/>
    </xf>
    <xf numFmtId="44" fontId="0" fillId="5" borderId="14" xfId="1" applyFont="1" applyFill="1" applyBorder="1" applyAlignment="1" applyProtection="1">
      <alignment horizontal="center" vertical="center"/>
    </xf>
    <xf numFmtId="164" fontId="3" fillId="5" borderId="14" xfId="1" applyNumberFormat="1" applyFont="1" applyFill="1" applyBorder="1" applyAlignment="1" applyProtection="1">
      <alignment horizontal="center" vertical="center"/>
    </xf>
    <xf numFmtId="0" fontId="11" fillId="5" borderId="15" xfId="0" applyFont="1" applyFill="1" applyBorder="1" applyAlignment="1" applyProtection="1">
      <alignment vertical="center" wrapText="1"/>
    </xf>
    <xf numFmtId="0" fontId="4" fillId="0" borderId="10" xfId="0" applyFont="1" applyFill="1" applyBorder="1" applyAlignment="1" applyProtection="1">
      <alignment horizontal="center" vertical="center"/>
    </xf>
    <xf numFmtId="0" fontId="4" fillId="0" borderId="34" xfId="0" applyFont="1" applyBorder="1" applyAlignment="1" applyProtection="1">
      <alignment horizontal="center" vertical="center" wrapText="1"/>
    </xf>
    <xf numFmtId="0" fontId="0" fillId="0" borderId="0" xfId="0" applyAlignment="1" applyProtection="1">
      <alignment vertical="center"/>
    </xf>
    <xf numFmtId="0" fontId="11" fillId="0" borderId="0" xfId="0" applyFont="1" applyAlignment="1" applyProtection="1">
      <alignment vertical="center" wrapText="1"/>
    </xf>
    <xf numFmtId="0" fontId="0" fillId="0" borderId="0" xfId="0" applyAlignment="1" applyProtection="1">
      <alignment horizontal="center" vertical="center"/>
    </xf>
    <xf numFmtId="3" fontId="0" fillId="0" borderId="0" xfId="0" applyNumberFormat="1" applyAlignment="1" applyProtection="1">
      <alignment horizontal="center" vertical="center"/>
    </xf>
    <xf numFmtId="44" fontId="0" fillId="0" borderId="0" xfId="1" applyNumberFormat="1" applyFont="1" applyAlignment="1" applyProtection="1">
      <alignment horizontal="center" vertical="center"/>
    </xf>
    <xf numFmtId="44" fontId="0" fillId="0" borderId="0" xfId="1" applyFont="1" applyAlignment="1" applyProtection="1">
      <alignment horizontal="center" vertical="center"/>
    </xf>
    <xf numFmtId="164" fontId="0" fillId="0" borderId="0" xfId="1" applyNumberFormat="1" applyFont="1" applyAlignment="1" applyProtection="1">
      <alignment horizontal="center" vertical="center"/>
    </xf>
    <xf numFmtId="44" fontId="7" fillId="0" borderId="0" xfId="1" applyNumberFormat="1" applyFont="1" applyAlignment="1" applyProtection="1">
      <alignment horizontal="right" vertical="center"/>
    </xf>
    <xf numFmtId="164" fontId="4" fillId="0" borderId="0" xfId="1" applyNumberFormat="1" applyFont="1" applyAlignment="1" applyProtection="1">
      <alignment horizontal="center" vertical="center"/>
    </xf>
    <xf numFmtId="0" fontId="3" fillId="2" borderId="10" xfId="0" applyFont="1" applyFill="1" applyBorder="1" applyAlignment="1" applyProtection="1">
      <alignment horizontal="center" vertical="center"/>
      <protection locked="0"/>
    </xf>
    <xf numFmtId="0" fontId="7" fillId="2" borderId="10" xfId="0" applyFont="1" applyFill="1" applyBorder="1" applyAlignment="1" applyProtection="1">
      <alignment horizontal="center" vertical="center" wrapText="1"/>
      <protection locked="0"/>
    </xf>
    <xf numFmtId="0" fontId="7" fillId="2" borderId="10" xfId="0" applyFont="1" applyFill="1" applyBorder="1" applyAlignment="1" applyProtection="1">
      <alignment horizontal="center" vertical="center"/>
      <protection locked="0"/>
    </xf>
    <xf numFmtId="0" fontId="16" fillId="8" borderId="10" xfId="0" applyFont="1" applyFill="1" applyBorder="1" applyAlignment="1" applyProtection="1">
      <alignment vertical="center" wrapText="1"/>
      <protection locked="0"/>
    </xf>
    <xf numFmtId="0" fontId="6" fillId="3" borderId="0" xfId="0" applyFont="1" applyFill="1" applyBorder="1" applyAlignment="1">
      <alignment horizontal="center" vertical="center"/>
    </xf>
    <xf numFmtId="0" fontId="0" fillId="5" borderId="15" xfId="0" applyFill="1" applyBorder="1" applyAlignment="1">
      <alignment horizontal="center" vertical="center"/>
    </xf>
    <xf numFmtId="0" fontId="16" fillId="5" borderId="14" xfId="0" applyFont="1" applyFill="1" applyBorder="1" applyAlignment="1">
      <alignment horizontal="center" vertical="center"/>
    </xf>
    <xf numFmtId="0" fontId="7" fillId="0" borderId="0" xfId="0" applyFont="1" applyAlignment="1">
      <alignment horizontal="left" vertical="center"/>
    </xf>
    <xf numFmtId="0" fontId="6" fillId="0" borderId="0" xfId="0" quotePrefix="1" applyFont="1" applyBorder="1" applyAlignment="1">
      <alignment horizontal="center" vertical="center" wrapText="1"/>
    </xf>
    <xf numFmtId="0" fontId="3" fillId="0" borderId="4" xfId="0" applyFont="1" applyBorder="1"/>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3" fillId="0" borderId="0" xfId="0" applyFont="1" applyBorder="1" applyAlignment="1">
      <alignment horizontal="center" vertical="center"/>
    </xf>
    <xf numFmtId="0" fontId="0" fillId="0" borderId="1" xfId="0" applyBorder="1" applyAlignment="1">
      <alignment horizontal="left" vertical="center"/>
    </xf>
    <xf numFmtId="0" fontId="4" fillId="0" borderId="2" xfId="0" applyFont="1" applyBorder="1"/>
    <xf numFmtId="0" fontId="0" fillId="0" borderId="4" xfId="0" applyBorder="1" applyAlignment="1">
      <alignment horizontal="left" vertical="center"/>
    </xf>
    <xf numFmtId="0" fontId="4" fillId="0" borderId="0" xfId="0" applyFont="1" applyBorder="1"/>
    <xf numFmtId="0" fontId="0" fillId="0" borderId="4" xfId="0" quotePrefix="1" applyBorder="1" applyAlignment="1">
      <alignment horizontal="center" vertical="center"/>
    </xf>
    <xf numFmtId="0" fontId="7" fillId="0" borderId="0" xfId="0" applyFont="1" applyBorder="1" applyAlignment="1">
      <alignment horizontal="left" vertical="center"/>
    </xf>
    <xf numFmtId="0" fontId="0" fillId="5" borderId="0" xfId="0" applyFill="1"/>
    <xf numFmtId="0" fontId="3" fillId="5" borderId="0" xfId="0" applyFont="1" applyFill="1" applyAlignment="1">
      <alignment horizontal="right"/>
    </xf>
    <xf numFmtId="167" fontId="3" fillId="5" borderId="0" xfId="0" applyNumberFormat="1" applyFont="1" applyFill="1" applyAlignment="1">
      <alignment horizontal="center" vertical="center"/>
    </xf>
    <xf numFmtId="0" fontId="4" fillId="5" borderId="0" xfId="0" applyFont="1" applyFill="1"/>
    <xf numFmtId="2" fontId="0" fillId="5" borderId="0" xfId="0" applyNumberFormat="1" applyFill="1"/>
    <xf numFmtId="0" fontId="6" fillId="5" borderId="0" xfId="0" applyFont="1" applyFill="1"/>
    <xf numFmtId="0" fontId="3" fillId="5" borderId="16" xfId="0" applyFont="1" applyFill="1" applyBorder="1"/>
    <xf numFmtId="0" fontId="3" fillId="5" borderId="17" xfId="0" applyFont="1" applyFill="1" applyBorder="1"/>
    <xf numFmtId="0" fontId="3" fillId="5" borderId="24" xfId="0" applyFont="1" applyFill="1" applyBorder="1"/>
    <xf numFmtId="0" fontId="3" fillId="5" borderId="16" xfId="0" applyFont="1" applyFill="1" applyBorder="1" applyAlignment="1">
      <alignment vertical="center"/>
    </xf>
    <xf numFmtId="0" fontId="3" fillId="5" borderId="17"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8" xfId="0" applyFont="1" applyFill="1" applyBorder="1" applyAlignment="1">
      <alignment vertical="center"/>
    </xf>
    <xf numFmtId="0" fontId="0" fillId="5" borderId="19" xfId="0" applyFill="1" applyBorder="1"/>
    <xf numFmtId="0" fontId="0" fillId="5" borderId="27" xfId="0" applyFill="1" applyBorder="1"/>
    <xf numFmtId="0" fontId="0" fillId="5" borderId="18" xfId="0" applyFill="1" applyBorder="1"/>
    <xf numFmtId="2" fontId="0" fillId="5" borderId="19" xfId="0" applyNumberFormat="1" applyFill="1" applyBorder="1"/>
    <xf numFmtId="2" fontId="0" fillId="5" borderId="27" xfId="0" applyNumberFormat="1" applyFill="1" applyBorder="1"/>
    <xf numFmtId="0" fontId="0" fillId="5" borderId="20" xfId="0" applyFont="1" applyFill="1" applyBorder="1" applyAlignment="1">
      <alignment vertical="center"/>
    </xf>
    <xf numFmtId="0" fontId="0" fillId="5" borderId="21" xfId="0" applyFill="1" applyBorder="1"/>
    <xf numFmtId="0" fontId="0" fillId="5" borderId="28" xfId="0" applyFill="1" applyBorder="1"/>
    <xf numFmtId="0" fontId="0" fillId="5" borderId="20" xfId="0" applyFill="1" applyBorder="1"/>
    <xf numFmtId="2" fontId="0" fillId="5" borderId="21" xfId="0" applyNumberFormat="1" applyFill="1" applyBorder="1"/>
    <xf numFmtId="2" fontId="0" fillId="5" borderId="28" xfId="0" applyNumberFormat="1" applyFill="1" applyBorder="1"/>
    <xf numFmtId="0" fontId="8" fillId="5" borderId="0" xfId="0" applyFont="1" applyFill="1"/>
    <xf numFmtId="2" fontId="7" fillId="5" borderId="0" xfId="0" applyNumberFormat="1" applyFont="1" applyFill="1"/>
    <xf numFmtId="0" fontId="0" fillId="5" borderId="0" xfId="0" applyFill="1" applyAlignment="1">
      <alignment horizontal="center" vertical="center" wrapText="1"/>
    </xf>
    <xf numFmtId="0" fontId="3" fillId="5" borderId="61" xfId="0" applyFont="1" applyFill="1" applyBorder="1" applyAlignment="1">
      <alignment horizontal="center" vertical="center"/>
    </xf>
    <xf numFmtId="167" fontId="0" fillId="5" borderId="61" xfId="0" applyNumberFormat="1" applyFill="1" applyBorder="1" applyAlignment="1">
      <alignment horizontal="center" vertical="center"/>
    </xf>
    <xf numFmtId="2" fontId="0" fillId="5" borderId="61" xfId="0" applyNumberFormat="1" applyFill="1" applyBorder="1" applyAlignment="1">
      <alignment horizontal="center" vertical="center"/>
    </xf>
    <xf numFmtId="0" fontId="0" fillId="5" borderId="61" xfId="0" applyFill="1" applyBorder="1" applyAlignment="1">
      <alignment vertical="center"/>
    </xf>
    <xf numFmtId="167" fontId="0" fillId="5" borderId="0" xfId="0" applyNumberFormat="1" applyFill="1" applyAlignment="1">
      <alignment horizontal="center" vertical="center"/>
    </xf>
    <xf numFmtId="0" fontId="0" fillId="0" borderId="10" xfId="0" applyFill="1" applyBorder="1" applyAlignment="1" applyProtection="1">
      <alignment horizontal="center" vertical="center"/>
    </xf>
    <xf numFmtId="0" fontId="0" fillId="2" borderId="10" xfId="0" applyFont="1" applyFill="1" applyBorder="1" applyAlignment="1" applyProtection="1">
      <alignment vertical="center" wrapText="1"/>
      <protection locked="0"/>
    </xf>
    <xf numFmtId="0" fontId="3" fillId="0" borderId="0" xfId="0" applyFont="1" applyAlignment="1" applyProtection="1">
      <alignment horizontal="center" vertical="center"/>
      <protection locked="0"/>
    </xf>
    <xf numFmtId="0" fontId="0" fillId="0" borderId="0" xfId="0" applyAlignment="1">
      <alignment horizontal="right" vertical="center"/>
    </xf>
    <xf numFmtId="2" fontId="0" fillId="0" borderId="0" xfId="0" applyNumberFormat="1" applyAlignment="1">
      <alignment horizontal="center" vertical="center"/>
    </xf>
    <xf numFmtId="0" fontId="6" fillId="7" borderId="16" xfId="0" applyFont="1" applyFill="1" applyBorder="1" applyAlignment="1">
      <alignment horizontal="center"/>
    </xf>
    <xf numFmtId="0" fontId="6" fillId="0" borderId="18" xfId="0" applyFont="1" applyBorder="1" applyAlignment="1">
      <alignment horizontal="center" vertical="center"/>
    </xf>
    <xf numFmtId="0" fontId="6" fillId="0" borderId="18" xfId="0" applyFont="1" applyBorder="1" applyAlignment="1">
      <alignment horizontal="center" vertical="center" wrapText="1"/>
    </xf>
    <xf numFmtId="0" fontId="6" fillId="0" borderId="18" xfId="0" quotePrefix="1" applyFont="1" applyBorder="1" applyAlignment="1">
      <alignment horizontal="center" vertical="center"/>
    </xf>
    <xf numFmtId="0" fontId="6" fillId="0" borderId="20" xfId="0" quotePrefix="1" applyFont="1" applyBorder="1" applyAlignment="1">
      <alignment horizontal="center" vertical="center"/>
    </xf>
    <xf numFmtId="0" fontId="0" fillId="0" borderId="23" xfId="0" applyBorder="1"/>
    <xf numFmtId="0" fontId="0" fillId="0" borderId="74" xfId="0" applyBorder="1"/>
    <xf numFmtId="0" fontId="6" fillId="0" borderId="2" xfId="0" quotePrefix="1" applyFont="1" applyBorder="1" applyAlignment="1">
      <alignment horizontal="center" vertical="center"/>
    </xf>
    <xf numFmtId="0" fontId="0" fillId="0" borderId="2" xfId="0" applyBorder="1" applyAlignment="1">
      <alignment wrapText="1"/>
    </xf>
    <xf numFmtId="0" fontId="6" fillId="0" borderId="0" xfId="0" applyFont="1" applyBorder="1" applyAlignment="1">
      <alignment horizontal="center" vertical="center"/>
    </xf>
    <xf numFmtId="0" fontId="0" fillId="0" borderId="0" xfId="0" applyBorder="1" applyAlignment="1">
      <alignment wrapText="1"/>
    </xf>
    <xf numFmtId="0" fontId="0" fillId="0" borderId="0" xfId="0" applyProtection="1"/>
    <xf numFmtId="0" fontId="0" fillId="0" borderId="0" xfId="0" applyBorder="1" applyProtection="1"/>
    <xf numFmtId="0" fontId="0" fillId="0" borderId="19" xfId="0" applyBorder="1" applyProtection="1"/>
    <xf numFmtId="0" fontId="0" fillId="0" borderId="21" xfId="0" applyBorder="1" applyProtection="1"/>
    <xf numFmtId="0" fontId="0" fillId="0" borderId="28" xfId="0" applyBorder="1" applyProtection="1"/>
    <xf numFmtId="0" fontId="0" fillId="0" borderId="20" xfId="0" applyBorder="1" applyProtection="1"/>
    <xf numFmtId="0" fontId="8" fillId="2" borderId="10" xfId="0" applyFont="1" applyFill="1" applyBorder="1" applyAlignment="1" applyProtection="1">
      <alignment horizontal="center" vertical="center"/>
      <protection locked="0"/>
    </xf>
    <xf numFmtId="166" fontId="6" fillId="2" borderId="10" xfId="0" applyNumberFormat="1" applyFont="1" applyFill="1" applyBorder="1" applyAlignment="1" applyProtection="1">
      <alignment horizontal="center" vertical="center"/>
      <protection locked="0"/>
    </xf>
    <xf numFmtId="166" fontId="0" fillId="2" borderId="10" xfId="0" applyNumberFormat="1" applyFill="1" applyBorder="1" applyAlignment="1" applyProtection="1">
      <alignment horizontal="center" vertical="center"/>
      <protection locked="0"/>
    </xf>
    <xf numFmtId="3" fontId="0" fillId="2" borderId="10" xfId="0" applyNumberFormat="1" applyFill="1" applyBorder="1" applyAlignment="1" applyProtection="1">
      <alignment horizontal="center" vertical="center"/>
      <protection locked="0"/>
    </xf>
    <xf numFmtId="0" fontId="0" fillId="0" borderId="0" xfId="0" applyAlignment="1" applyProtection="1">
      <alignment horizontal="center" vertical="center" wrapText="1"/>
    </xf>
    <xf numFmtId="0" fontId="4" fillId="0" borderId="9" xfId="0" applyFont="1" applyBorder="1" applyAlignment="1" applyProtection="1">
      <alignment vertical="center" wrapText="1"/>
    </xf>
    <xf numFmtId="0" fontId="4" fillId="0" borderId="10" xfId="0" applyFont="1" applyBorder="1" applyAlignment="1" applyProtection="1">
      <alignment horizontal="center" vertical="center"/>
    </xf>
    <xf numFmtId="0" fontId="0" fillId="0" borderId="10" xfId="0" applyBorder="1" applyAlignment="1" applyProtection="1">
      <alignment horizontal="center" vertical="center"/>
    </xf>
    <xf numFmtId="164" fontId="0" fillId="0" borderId="10" xfId="1" applyNumberFormat="1" applyFont="1" applyBorder="1" applyAlignment="1" applyProtection="1">
      <alignment horizontal="center" vertical="center"/>
    </xf>
    <xf numFmtId="165" fontId="0" fillId="0" borderId="10" xfId="2" applyNumberFormat="1" applyFont="1" applyBorder="1" applyAlignment="1" applyProtection="1">
      <alignment horizontal="center" vertical="center"/>
    </xf>
    <xf numFmtId="0" fontId="0" fillId="5" borderId="13" xfId="0" applyFill="1" applyBorder="1" applyAlignment="1" applyProtection="1">
      <alignment horizontal="center" vertical="center"/>
    </xf>
    <xf numFmtId="0" fontId="0" fillId="5" borderId="14" xfId="0" applyFill="1" applyBorder="1" applyAlignment="1" applyProtection="1">
      <alignment vertical="center"/>
    </xf>
    <xf numFmtId="0" fontId="11" fillId="5" borderId="14" xfId="0" applyFont="1" applyFill="1" applyBorder="1" applyAlignment="1" applyProtection="1">
      <alignment vertical="center" wrapText="1"/>
    </xf>
    <xf numFmtId="0" fontId="0" fillId="5" borderId="14" xfId="0" applyFill="1" applyBorder="1" applyAlignment="1" applyProtection="1">
      <alignment horizontal="center" vertical="center"/>
    </xf>
    <xf numFmtId="3" fontId="0" fillId="5" borderId="14" xfId="0" applyNumberFormat="1" applyFill="1" applyBorder="1" applyAlignment="1" applyProtection="1">
      <alignment horizontal="center" vertical="center"/>
    </xf>
    <xf numFmtId="44" fontId="0" fillId="5" borderId="14" xfId="1" applyNumberFormat="1" applyFont="1" applyFill="1" applyBorder="1" applyAlignment="1" applyProtection="1">
      <alignment horizontal="center" vertical="center"/>
    </xf>
    <xf numFmtId="44" fontId="0" fillId="5" borderId="14" xfId="1" applyFont="1" applyFill="1" applyBorder="1" applyAlignment="1" applyProtection="1">
      <alignment horizontal="center" vertical="center"/>
    </xf>
    <xf numFmtId="164" fontId="3" fillId="5" borderId="14" xfId="1" applyNumberFormat="1" applyFont="1" applyFill="1" applyBorder="1" applyAlignment="1" applyProtection="1">
      <alignment horizontal="center" vertical="center"/>
    </xf>
    <xf numFmtId="0" fontId="11" fillId="5" borderId="15" xfId="0" applyFont="1" applyFill="1" applyBorder="1" applyAlignment="1" applyProtection="1">
      <alignment vertical="center" wrapText="1"/>
    </xf>
    <xf numFmtId="0" fontId="4" fillId="0" borderId="10" xfId="0" applyFont="1" applyFill="1" applyBorder="1" applyAlignment="1" applyProtection="1">
      <alignment horizontal="center" vertical="center"/>
    </xf>
    <xf numFmtId="0" fontId="6" fillId="0" borderId="10" xfId="0" applyFont="1" applyBorder="1" applyAlignment="1" applyProtection="1">
      <alignment horizontal="left" vertical="center" wrapText="1"/>
    </xf>
    <xf numFmtId="0" fontId="0" fillId="0" borderId="0" xfId="0" applyAlignment="1" applyProtection="1">
      <alignment vertical="center"/>
    </xf>
    <xf numFmtId="0" fontId="11" fillId="0" borderId="0" xfId="0" applyFont="1" applyAlignment="1" applyProtection="1">
      <alignment vertical="center" wrapText="1"/>
    </xf>
    <xf numFmtId="0" fontId="0" fillId="0" borderId="0" xfId="0" applyAlignment="1" applyProtection="1">
      <alignment horizontal="center" vertical="center"/>
    </xf>
    <xf numFmtId="3" fontId="0" fillId="0" borderId="0" xfId="0" applyNumberFormat="1" applyAlignment="1" applyProtection="1">
      <alignment horizontal="center" vertical="center"/>
    </xf>
    <xf numFmtId="44" fontId="0" fillId="0" borderId="0" xfId="1" applyNumberFormat="1" applyFont="1" applyAlignment="1" applyProtection="1">
      <alignment horizontal="center" vertical="center"/>
    </xf>
    <xf numFmtId="44" fontId="0" fillId="0" borderId="0" xfId="1" applyFont="1" applyAlignment="1" applyProtection="1">
      <alignment horizontal="center" vertical="center"/>
    </xf>
    <xf numFmtId="164" fontId="0" fillId="0" borderId="0" xfId="1" applyNumberFormat="1" applyFont="1" applyAlignment="1" applyProtection="1">
      <alignment horizontal="center" vertical="center"/>
    </xf>
    <xf numFmtId="44" fontId="7" fillId="0" borderId="0" xfId="1" applyNumberFormat="1" applyFont="1" applyAlignment="1" applyProtection="1">
      <alignment horizontal="right" vertical="center"/>
    </xf>
    <xf numFmtId="164" fontId="4" fillId="0" borderId="0" xfId="1" applyNumberFormat="1" applyFont="1" applyAlignment="1" applyProtection="1">
      <alignment horizontal="center" vertical="center"/>
    </xf>
    <xf numFmtId="44" fontId="6" fillId="8" borderId="10" xfId="1" applyFont="1" applyFill="1" applyBorder="1" applyAlignment="1" applyProtection="1">
      <alignment horizontal="center" vertical="center"/>
      <protection locked="0"/>
    </xf>
    <xf numFmtId="0" fontId="0" fillId="0" borderId="10" xfId="0" applyFill="1" applyBorder="1" applyAlignment="1" applyProtection="1">
      <alignment horizontal="center" vertical="center"/>
    </xf>
    <xf numFmtId="0" fontId="6" fillId="2" borderId="10" xfId="0" applyFont="1" applyFill="1" applyBorder="1" applyAlignment="1" applyProtection="1">
      <alignment vertical="center" wrapText="1"/>
      <protection locked="0"/>
    </xf>
    <xf numFmtId="44" fontId="6" fillId="0" borderId="10" xfId="1" applyNumberFormat="1" applyFont="1" applyFill="1" applyBorder="1" applyAlignment="1" applyProtection="1">
      <alignment horizontal="center" vertical="center"/>
    </xf>
    <xf numFmtId="164" fontId="6" fillId="0" borderId="10" xfId="1" applyNumberFormat="1" applyFont="1" applyFill="1" applyBorder="1" applyAlignment="1" applyProtection="1">
      <alignment horizontal="center" vertical="center"/>
    </xf>
    <xf numFmtId="0" fontId="0" fillId="0" borderId="19" xfId="0" applyBorder="1" applyAlignment="1">
      <alignment horizontal="center" vertical="center" wrapText="1"/>
    </xf>
    <xf numFmtId="0" fontId="6" fillId="0" borderId="10" xfId="0" applyFont="1" applyFill="1" applyBorder="1" applyAlignment="1" applyProtection="1">
      <alignment vertical="center" wrapText="1"/>
    </xf>
    <xf numFmtId="0" fontId="4" fillId="0" borderId="0" xfId="0" applyFont="1" applyProtection="1">
      <protection hidden="1"/>
    </xf>
    <xf numFmtId="0" fontId="0" fillId="0" borderId="0" xfId="0" applyProtection="1">
      <protection hidden="1"/>
    </xf>
    <xf numFmtId="0" fontId="0" fillId="0" borderId="0" xfId="0" applyAlignment="1" applyProtection="1">
      <alignment horizontal="center" vertical="center"/>
      <protection hidden="1"/>
    </xf>
    <xf numFmtId="0" fontId="0" fillId="0" borderId="0" xfId="0" applyAlignment="1" applyProtection="1">
      <alignment horizontal="center" vertical="center" wrapText="1"/>
      <protection hidden="1"/>
    </xf>
    <xf numFmtId="44" fontId="0" fillId="0" borderId="0" xfId="0" applyNumberFormat="1" applyProtection="1">
      <protection hidden="1"/>
    </xf>
    <xf numFmtId="0" fontId="0" fillId="0" borderId="0" xfId="0" applyAlignment="1" applyProtection="1">
      <alignment horizontal="center"/>
      <protection hidden="1"/>
    </xf>
    <xf numFmtId="0" fontId="3" fillId="0" borderId="0" xfId="0" applyFont="1" applyAlignment="1" applyProtection="1">
      <alignment horizontal="center" vertical="center"/>
    </xf>
    <xf numFmtId="0" fontId="0" fillId="0" borderId="0" xfId="0" applyBorder="1" applyAlignment="1" applyProtection="1">
      <alignment horizontal="center" vertical="center" wrapText="1"/>
    </xf>
    <xf numFmtId="0" fontId="0" fillId="0" borderId="0" xfId="0" applyBorder="1" applyProtection="1">
      <protection hidden="1"/>
    </xf>
    <xf numFmtId="44" fontId="0" fillId="0" borderId="0" xfId="0" applyNumberFormat="1" applyBorder="1" applyProtection="1">
      <protection hidden="1"/>
    </xf>
    <xf numFmtId="0" fontId="0" fillId="0" borderId="0" xfId="0" applyBorder="1" applyAlignment="1" applyProtection="1">
      <alignment horizontal="center"/>
      <protection hidden="1"/>
    </xf>
    <xf numFmtId="0" fontId="0" fillId="0" borderId="6" xfId="0" applyBorder="1" applyProtection="1">
      <protection hidden="1"/>
    </xf>
    <xf numFmtId="0" fontId="0" fillId="0" borderId="7" xfId="0" applyBorder="1" applyProtection="1">
      <protection hidden="1"/>
    </xf>
    <xf numFmtId="44" fontId="0" fillId="0" borderId="8" xfId="0" applyNumberFormat="1" applyBorder="1" applyProtection="1">
      <protection hidden="1"/>
    </xf>
    <xf numFmtId="0" fontId="11" fillId="9" borderId="10" xfId="0" applyFont="1" applyFill="1" applyBorder="1" applyAlignment="1" applyProtection="1">
      <alignment vertical="center" wrapText="1"/>
    </xf>
    <xf numFmtId="0" fontId="0" fillId="5" borderId="22" xfId="0" applyFill="1" applyBorder="1" applyAlignment="1" applyProtection="1">
      <alignment horizontal="center" vertical="center"/>
    </xf>
    <xf numFmtId="0" fontId="16" fillId="9" borderId="10" xfId="0" applyFont="1" applyFill="1" applyBorder="1" applyAlignment="1" applyProtection="1">
      <alignment vertical="center" wrapText="1"/>
    </xf>
    <xf numFmtId="0" fontId="0" fillId="5" borderId="13" xfId="0" applyFill="1" applyBorder="1" applyAlignment="1" applyProtection="1">
      <alignment horizontal="center" vertical="center"/>
    </xf>
    <xf numFmtId="0" fontId="0" fillId="0" borderId="79" xfId="0" applyBorder="1" applyProtection="1"/>
    <xf numFmtId="0" fontId="3" fillId="2" borderId="10" xfId="0" applyFont="1" applyFill="1" applyBorder="1" applyAlignment="1" applyProtection="1">
      <alignment vertical="center" wrapText="1"/>
      <protection locked="0"/>
    </xf>
    <xf numFmtId="0" fontId="0" fillId="2" borderId="10" xfId="0" applyFill="1" applyBorder="1" applyAlignment="1" applyProtection="1">
      <alignment horizontal="center" vertical="center"/>
      <protection locked="0"/>
    </xf>
    <xf numFmtId="0" fontId="0" fillId="0" borderId="18" xfId="0" applyBorder="1" applyAlignment="1" applyProtection="1">
      <alignment horizontal="center" vertical="center"/>
    </xf>
    <xf numFmtId="0" fontId="6" fillId="5" borderId="14" xfId="0" applyFont="1" applyFill="1" applyBorder="1" applyAlignment="1" applyProtection="1">
      <alignment vertical="center" wrapText="1"/>
    </xf>
    <xf numFmtId="0" fontId="0" fillId="0" borderId="4" xfId="0" applyFill="1" applyBorder="1" applyProtection="1"/>
    <xf numFmtId="0" fontId="15" fillId="5" borderId="14" xfId="0" applyFont="1" applyFill="1" applyBorder="1" applyAlignment="1" applyProtection="1">
      <alignment vertical="center" wrapText="1"/>
    </xf>
    <xf numFmtId="0" fontId="16" fillId="5" borderId="15" xfId="0" applyFont="1" applyFill="1" applyBorder="1" applyAlignment="1" applyProtection="1">
      <alignment vertical="center" wrapText="1"/>
    </xf>
    <xf numFmtId="0" fontId="4" fillId="0" borderId="9" xfId="0" applyFont="1" applyBorder="1" applyAlignment="1" applyProtection="1">
      <alignment horizontal="center" vertical="center"/>
    </xf>
    <xf numFmtId="3" fontId="10" fillId="0" borderId="0" xfId="0" applyNumberFormat="1" applyFont="1" applyAlignment="1" applyProtection="1">
      <alignment horizontal="center" vertical="center"/>
    </xf>
    <xf numFmtId="0" fontId="3" fillId="2" borderId="10" xfId="0" applyFont="1" applyFill="1" applyBorder="1" applyAlignment="1" applyProtection="1">
      <alignment horizontal="left" vertical="center" wrapText="1"/>
      <protection locked="0"/>
    </xf>
    <xf numFmtId="0" fontId="0" fillId="0" borderId="20" xfId="0" applyBorder="1" applyAlignment="1" applyProtection="1">
      <alignment horizontal="center" vertical="center"/>
    </xf>
    <xf numFmtId="44" fontId="0" fillId="5" borderId="14" xfId="1" applyFont="1" applyFill="1" applyBorder="1" applyAlignment="1" applyProtection="1">
      <alignment horizontal="center" vertical="center"/>
      <protection locked="0"/>
    </xf>
    <xf numFmtId="44" fontId="0" fillId="5" borderId="10" xfId="1" applyFont="1" applyFill="1" applyBorder="1" applyAlignment="1">
      <alignment horizontal="center" vertical="center"/>
    </xf>
    <xf numFmtId="0" fontId="3" fillId="5" borderId="14" xfId="0" applyFont="1" applyFill="1" applyBorder="1" applyAlignment="1">
      <alignment horizontal="center" vertical="center"/>
    </xf>
    <xf numFmtId="0" fontId="6" fillId="5" borderId="14" xfId="0" applyFont="1" applyFill="1" applyBorder="1" applyAlignment="1">
      <alignment horizontal="center" vertical="center"/>
    </xf>
    <xf numFmtId="0" fontId="6" fillId="8" borderId="10" xfId="0" applyFont="1" applyFill="1" applyBorder="1" applyAlignment="1" applyProtection="1">
      <alignment horizontal="center" vertical="center" wrapText="1"/>
      <protection locked="0"/>
    </xf>
    <xf numFmtId="0" fontId="42" fillId="6" borderId="2" xfId="0" applyFont="1" applyFill="1" applyBorder="1" applyAlignment="1">
      <alignment horizontal="center" vertical="center" wrapText="1"/>
    </xf>
    <xf numFmtId="0" fontId="43" fillId="6" borderId="2" xfId="0" applyFont="1" applyFill="1" applyBorder="1" applyAlignment="1">
      <alignment horizontal="center" vertical="center" wrapText="1"/>
    </xf>
    <xf numFmtId="0" fontId="15" fillId="8" borderId="10" xfId="0" applyFont="1" applyFill="1" applyBorder="1" applyAlignment="1" applyProtection="1">
      <alignment horizontal="center" vertical="center" wrapText="1"/>
      <protection locked="0"/>
    </xf>
    <xf numFmtId="0" fontId="0" fillId="8" borderId="10" xfId="0" applyFill="1" applyBorder="1" applyAlignment="1" applyProtection="1">
      <alignment horizontal="center" vertical="center" wrapText="1"/>
      <protection locked="0"/>
    </xf>
    <xf numFmtId="0" fontId="0" fillId="8" borderId="10" xfId="0" applyFill="1" applyBorder="1" applyAlignment="1" applyProtection="1">
      <alignment horizontal="center" vertical="center"/>
      <protection locked="0"/>
    </xf>
    <xf numFmtId="0" fontId="3" fillId="0" borderId="7" xfId="0" applyFont="1" applyFill="1" applyBorder="1" applyAlignment="1" applyProtection="1">
      <alignment horizontal="center" vertical="center"/>
    </xf>
    <xf numFmtId="0" fontId="40" fillId="6" borderId="3" xfId="0" applyFont="1" applyFill="1" applyBorder="1" applyAlignment="1">
      <alignment horizontal="center" vertical="center" wrapText="1"/>
    </xf>
    <xf numFmtId="0" fontId="0" fillId="5" borderId="0" xfId="0" applyFill="1" applyAlignment="1">
      <alignment horizontal="right"/>
    </xf>
    <xf numFmtId="0" fontId="3" fillId="8" borderId="13" xfId="0" applyFont="1" applyFill="1" applyBorder="1" applyAlignment="1" applyProtection="1">
      <alignment horizontal="center" vertical="center" wrapText="1"/>
      <protection locked="0"/>
    </xf>
    <xf numFmtId="3" fontId="6" fillId="2" borderId="10" xfId="0" applyNumberFormat="1" applyFont="1" applyFill="1" applyBorder="1" applyAlignment="1" applyProtection="1">
      <alignment horizontal="center" vertical="center"/>
      <protection locked="0"/>
    </xf>
    <xf numFmtId="0" fontId="3" fillId="8" borderId="13" xfId="0" applyFont="1" applyFill="1" applyBorder="1" applyAlignment="1" applyProtection="1">
      <alignment horizontal="center" vertical="center" wrapText="1"/>
      <protection locked="0"/>
    </xf>
    <xf numFmtId="0" fontId="6" fillId="5" borderId="13" xfId="0" applyFont="1" applyFill="1" applyBorder="1" applyAlignment="1" applyProtection="1">
      <alignment horizontal="center" vertical="center"/>
    </xf>
    <xf numFmtId="0" fontId="6" fillId="5" borderId="14" xfId="0" applyFont="1" applyFill="1" applyBorder="1" applyAlignment="1" applyProtection="1">
      <alignment vertical="center"/>
    </xf>
    <xf numFmtId="0" fontId="10" fillId="0" borderId="16" xfId="0" applyFont="1" applyBorder="1" applyAlignment="1" applyProtection="1">
      <alignment vertical="center"/>
    </xf>
    <xf numFmtId="0" fontId="7" fillId="0" borderId="37" xfId="0" applyFont="1" applyBorder="1" applyAlignment="1" applyProtection="1">
      <alignment horizontal="center" vertical="center"/>
    </xf>
    <xf numFmtId="0" fontId="0" fillId="0" borderId="50" xfId="0" applyBorder="1" applyProtection="1"/>
    <xf numFmtId="164" fontId="6" fillId="0" borderId="73" xfId="0" applyNumberFormat="1" applyFont="1" applyBorder="1" applyAlignment="1" applyProtection="1">
      <alignment horizontal="right" vertical="center"/>
    </xf>
    <xf numFmtId="164" fontId="46" fillId="0" borderId="58" xfId="0" applyNumberFormat="1" applyFont="1" applyBorder="1" applyProtection="1"/>
    <xf numFmtId="0" fontId="10" fillId="0" borderId="18" xfId="0" applyFont="1" applyBorder="1" applyAlignment="1" applyProtection="1">
      <alignment horizontal="right" vertical="center"/>
    </xf>
    <xf numFmtId="2" fontId="10" fillId="0" borderId="27" xfId="0" applyNumberFormat="1" applyFont="1" applyBorder="1" applyAlignment="1" applyProtection="1">
      <alignment horizontal="center" vertical="center"/>
    </xf>
    <xf numFmtId="0" fontId="0" fillId="0" borderId="51" xfId="0" applyBorder="1" applyProtection="1"/>
    <xf numFmtId="164" fontId="6" fillId="0" borderId="25" xfId="0" applyNumberFormat="1" applyFont="1" applyBorder="1" applyAlignment="1" applyProtection="1">
      <alignment horizontal="right" vertical="center"/>
    </xf>
    <xf numFmtId="164" fontId="46" fillId="0" borderId="59" xfId="1" applyNumberFormat="1" applyFont="1" applyBorder="1" applyAlignment="1" applyProtection="1">
      <alignment vertical="center"/>
    </xf>
    <xf numFmtId="0" fontId="10" fillId="0" borderId="20" xfId="0" applyFont="1" applyBorder="1" applyAlignment="1" applyProtection="1">
      <alignment horizontal="right" vertical="center"/>
    </xf>
    <xf numFmtId="167" fontId="0" fillId="0" borderId="28" xfId="0" applyNumberFormat="1" applyFont="1" applyBorder="1" applyAlignment="1" applyProtection="1">
      <alignment horizontal="center" vertical="center"/>
    </xf>
    <xf numFmtId="0" fontId="6" fillId="0" borderId="26" xfId="0" applyFont="1" applyBorder="1" applyAlignment="1" applyProtection="1">
      <alignment horizontal="right"/>
    </xf>
    <xf numFmtId="165" fontId="46" fillId="0" borderId="52" xfId="2" applyNumberFormat="1" applyFont="1" applyBorder="1" applyAlignment="1" applyProtection="1">
      <alignment horizontal="right" vertical="center"/>
    </xf>
    <xf numFmtId="0" fontId="0" fillId="0" borderId="16" xfId="0" applyBorder="1" applyAlignment="1" applyProtection="1">
      <alignment horizontal="center" vertical="center"/>
    </xf>
    <xf numFmtId="0" fontId="0" fillId="0" borderId="4" xfId="0" applyFill="1" applyBorder="1" applyAlignment="1" applyProtection="1">
      <protection locked="0"/>
    </xf>
    <xf numFmtId="0" fontId="3" fillId="0" borderId="0" xfId="0" applyFont="1" applyProtection="1"/>
    <xf numFmtId="44" fontId="3" fillId="5" borderId="14" xfId="1" applyFont="1" applyFill="1" applyBorder="1" applyAlignment="1" applyProtection="1">
      <alignment horizontal="center" vertical="center"/>
    </xf>
    <xf numFmtId="0" fontId="0" fillId="0" borderId="0" xfId="0" applyAlignment="1">
      <alignment horizontal="center"/>
    </xf>
    <xf numFmtId="0" fontId="4" fillId="0" borderId="9" xfId="0" applyFont="1" applyBorder="1" applyAlignment="1">
      <alignment horizontal="center" vertical="center" wrapText="1"/>
    </xf>
    <xf numFmtId="0" fontId="6" fillId="2" borderId="10" xfId="0" applyFont="1" applyFill="1" applyBorder="1" applyAlignment="1" applyProtection="1">
      <alignment horizontal="center" vertical="center"/>
      <protection locked="0"/>
    </xf>
    <xf numFmtId="0" fontId="3" fillId="5" borderId="14" xfId="0" applyFont="1" applyFill="1" applyBorder="1" applyAlignment="1" applyProtection="1">
      <alignment vertical="center"/>
    </xf>
    <xf numFmtId="3" fontId="3" fillId="2" borderId="10" xfId="0" applyNumberFormat="1" applyFont="1" applyFill="1" applyBorder="1" applyAlignment="1" applyProtection="1">
      <alignment horizontal="center" vertical="center"/>
      <protection locked="0"/>
    </xf>
    <xf numFmtId="44" fontId="0" fillId="5" borderId="10" xfId="1" applyNumberFormat="1" applyFont="1" applyFill="1" applyBorder="1" applyAlignment="1" applyProtection="1">
      <alignment horizontal="center" vertical="center" wrapText="1"/>
    </xf>
    <xf numFmtId="0" fontId="0" fillId="0" borderId="53" xfId="0" applyBorder="1" applyAlignment="1" applyProtection="1">
      <alignment horizontal="center" vertical="center"/>
    </xf>
    <xf numFmtId="44" fontId="6" fillId="0" borderId="10" xfId="0" applyNumberFormat="1" applyFont="1" applyFill="1" applyBorder="1" applyAlignment="1" applyProtection="1">
      <alignment horizontal="center" vertical="center"/>
    </xf>
    <xf numFmtId="44" fontId="6" fillId="0" borderId="10" xfId="1" applyNumberFormat="1" applyFont="1" applyFill="1" applyBorder="1" applyAlignment="1">
      <alignment horizontal="center" vertical="center"/>
    </xf>
    <xf numFmtId="44" fontId="10" fillId="8" borderId="10" xfId="1" applyFont="1" applyFill="1" applyBorder="1" applyAlignment="1" applyProtection="1">
      <alignment horizontal="center" vertical="center"/>
      <protection locked="0"/>
    </xf>
    <xf numFmtId="164" fontId="6" fillId="8" borderId="10" xfId="1" applyNumberFormat="1" applyFont="1" applyFill="1" applyBorder="1" applyAlignment="1" applyProtection="1">
      <alignment horizontal="center" vertical="center"/>
      <protection locked="0"/>
    </xf>
    <xf numFmtId="44" fontId="10" fillId="5" borderId="14" xfId="1" applyNumberFormat="1" applyFont="1" applyFill="1" applyBorder="1" applyAlignment="1" applyProtection="1">
      <alignment horizontal="center" vertical="center"/>
    </xf>
    <xf numFmtId="44" fontId="10" fillId="5" borderId="14" xfId="1" applyFont="1" applyFill="1" applyBorder="1" applyAlignment="1" applyProtection="1">
      <alignment horizontal="center" vertical="center"/>
    </xf>
    <xf numFmtId="44" fontId="10" fillId="5" borderId="10" xfId="1" applyNumberFormat="1" applyFont="1" applyFill="1" applyBorder="1" applyAlignment="1" applyProtection="1">
      <alignment horizontal="center" vertical="center" wrapText="1"/>
    </xf>
    <xf numFmtId="0" fontId="3" fillId="8" borderId="13" xfId="0" applyFont="1" applyFill="1" applyBorder="1" applyAlignment="1" applyProtection="1">
      <alignment horizontal="center" vertical="center" wrapText="1"/>
      <protection locked="0"/>
    </xf>
    <xf numFmtId="44" fontId="0" fillId="0" borderId="19" xfId="0" applyNumberFormat="1" applyBorder="1" applyProtection="1">
      <protection hidden="1"/>
    </xf>
    <xf numFmtId="0" fontId="0" fillId="0" borderId="19" xfId="0" applyBorder="1" applyAlignment="1">
      <alignment horizontal="center"/>
    </xf>
    <xf numFmtId="44" fontId="0" fillId="0" borderId="27" xfId="0" applyNumberFormat="1" applyBorder="1" applyProtection="1">
      <protection hidden="1"/>
    </xf>
    <xf numFmtId="0" fontId="0" fillId="0" borderId="18" xfId="0" applyBorder="1" applyProtection="1">
      <protection hidden="1"/>
    </xf>
    <xf numFmtId="0" fontId="0" fillId="0" borderId="19" xfId="0" applyBorder="1" applyAlignment="1" applyProtection="1">
      <alignment horizontal="center"/>
      <protection hidden="1"/>
    </xf>
    <xf numFmtId="0" fontId="0" fillId="0" borderId="19" xfId="0" applyBorder="1" applyProtection="1">
      <protection hidden="1"/>
    </xf>
    <xf numFmtId="0" fontId="0" fillId="0" borderId="20" xfId="0" applyBorder="1" applyProtection="1">
      <protection hidden="1"/>
    </xf>
    <xf numFmtId="0" fontId="0" fillId="0" borderId="21" xfId="0" applyBorder="1" applyProtection="1">
      <protection hidden="1"/>
    </xf>
    <xf numFmtId="44" fontId="0" fillId="0" borderId="28" xfId="0" applyNumberFormat="1" applyBorder="1" applyProtection="1">
      <protection hidden="1"/>
    </xf>
    <xf numFmtId="0" fontId="3" fillId="0" borderId="32" xfId="0" applyFont="1" applyFill="1" applyBorder="1" applyAlignment="1" applyProtection="1">
      <alignment horizontal="center" vertical="center"/>
      <protection locked="0"/>
    </xf>
    <xf numFmtId="0" fontId="0" fillId="0" borderId="32" xfId="0" applyBorder="1" applyProtection="1"/>
    <xf numFmtId="0" fontId="10" fillId="0" borderId="16" xfId="0" applyFont="1" applyBorder="1" applyAlignment="1" applyProtection="1">
      <alignment horizontal="right" vertical="center"/>
    </xf>
    <xf numFmtId="0" fontId="14" fillId="0" borderId="34" xfId="0" applyFont="1" applyFill="1" applyBorder="1" applyAlignment="1" applyProtection="1">
      <alignment horizontal="center" vertical="center" wrapText="1"/>
    </xf>
    <xf numFmtId="0" fontId="4" fillId="0" borderId="16" xfId="0" applyFont="1" applyBorder="1" applyProtection="1"/>
    <xf numFmtId="0" fontId="0" fillId="0" borderId="19" xfId="0" applyBorder="1" applyAlignment="1" applyProtection="1">
      <alignment horizontal="center" vertical="center" wrapText="1"/>
    </xf>
    <xf numFmtId="0" fontId="0" fillId="0" borderId="19" xfId="0" applyBorder="1" applyAlignment="1" applyProtection="1">
      <alignment horizontal="center" vertical="center"/>
    </xf>
    <xf numFmtId="0" fontId="0" fillId="0" borderId="27" xfId="0" applyBorder="1" applyAlignment="1" applyProtection="1">
      <alignment horizontal="center" vertical="center" wrapText="1"/>
    </xf>
    <xf numFmtId="0" fontId="0" fillId="0" borderId="18" xfId="0" applyBorder="1" applyProtection="1"/>
    <xf numFmtId="44" fontId="0" fillId="0" borderId="19" xfId="0" applyNumberFormat="1" applyBorder="1" applyProtection="1"/>
    <xf numFmtId="0" fontId="0" fillId="0" borderId="19" xfId="0" applyBorder="1" applyAlignment="1" applyProtection="1">
      <alignment horizontal="center"/>
    </xf>
    <xf numFmtId="44" fontId="0" fillId="0" borderId="27" xfId="0" applyNumberFormat="1" applyBorder="1" applyProtection="1"/>
    <xf numFmtId="0" fontId="0" fillId="0" borderId="20" xfId="0"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8" xfId="0" applyBorder="1" applyAlignment="1" applyProtection="1">
      <alignment horizontal="center" vertical="center" wrapText="1"/>
    </xf>
    <xf numFmtId="0" fontId="0" fillId="0" borderId="18" xfId="0" applyBorder="1" applyAlignment="1" applyProtection="1">
      <alignment horizontal="center" vertical="center" wrapText="1"/>
    </xf>
    <xf numFmtId="44" fontId="0" fillId="0" borderId="19" xfId="0" applyNumberFormat="1" applyBorder="1" applyAlignment="1" applyProtection="1">
      <alignment horizontal="center" vertical="center" wrapText="1"/>
    </xf>
    <xf numFmtId="164" fontId="0" fillId="0" borderId="27" xfId="0" applyNumberFormat="1" applyBorder="1" applyAlignment="1" applyProtection="1">
      <alignment horizontal="center" vertical="center" wrapText="1"/>
    </xf>
    <xf numFmtId="44" fontId="0" fillId="0" borderId="21" xfId="0" applyNumberFormat="1" applyBorder="1" applyProtection="1">
      <protection hidden="1"/>
    </xf>
    <xf numFmtId="0" fontId="0" fillId="0" borderId="21" xfId="0" applyBorder="1" applyAlignment="1" applyProtection="1">
      <alignment horizontal="center"/>
      <protection hidden="1"/>
    </xf>
    <xf numFmtId="164" fontId="10" fillId="0" borderId="10" xfId="1" applyNumberFormat="1" applyFont="1" applyBorder="1" applyAlignment="1" applyProtection="1">
      <alignment horizontal="center" vertical="center"/>
    </xf>
    <xf numFmtId="164" fontId="6" fillId="0" borderId="10" xfId="1" applyNumberFormat="1" applyFont="1" applyBorder="1" applyAlignment="1">
      <alignment horizontal="center" vertical="center"/>
    </xf>
    <xf numFmtId="164" fontId="6" fillId="0" borderId="10" xfId="1" applyNumberFormat="1" applyFont="1" applyBorder="1" applyAlignment="1" applyProtection="1">
      <alignment horizontal="center" vertical="center"/>
    </xf>
    <xf numFmtId="164" fontId="3" fillId="0" borderId="10" xfId="1" applyNumberFormat="1" applyFont="1" applyBorder="1" applyAlignment="1">
      <alignment horizontal="center" vertical="center"/>
    </xf>
    <xf numFmtId="164" fontId="3" fillId="0" borderId="10" xfId="1" applyNumberFormat="1" applyFont="1" applyBorder="1" applyAlignment="1" applyProtection="1">
      <alignment horizontal="center" vertical="center"/>
    </xf>
    <xf numFmtId="0" fontId="4" fillId="0" borderId="16" xfId="0" applyFont="1" applyBorder="1"/>
    <xf numFmtId="44" fontId="0" fillId="0" borderId="19" xfId="0" applyNumberFormat="1" applyBorder="1"/>
    <xf numFmtId="44" fontId="0" fillId="0" borderId="27" xfId="0" applyNumberFormat="1" applyBorder="1"/>
    <xf numFmtId="44" fontId="0" fillId="0" borderId="21" xfId="0" applyNumberFormat="1" applyBorder="1"/>
    <xf numFmtId="0" fontId="0" fillId="0" borderId="21" xfId="0" applyBorder="1" applyAlignment="1">
      <alignment horizontal="center"/>
    </xf>
    <xf numFmtId="44" fontId="0" fillId="0" borderId="28" xfId="0" applyNumberFormat="1" applyBorder="1"/>
    <xf numFmtId="44" fontId="6" fillId="8" borderId="9" xfId="1" applyFont="1" applyFill="1" applyBorder="1" applyAlignment="1" applyProtection="1">
      <alignment horizontal="center" vertical="center"/>
      <protection locked="0"/>
    </xf>
    <xf numFmtId="164" fontId="1" fillId="0" borderId="10" xfId="1" applyNumberFormat="1" applyFont="1" applyBorder="1" applyAlignment="1" applyProtection="1">
      <alignment horizontal="center" vertical="center"/>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28" xfId="0" applyBorder="1" applyAlignment="1">
      <alignment horizontal="center" vertical="center" wrapText="1"/>
    </xf>
    <xf numFmtId="169" fontId="6" fillId="8" borderId="10" xfId="1" applyNumberFormat="1" applyFont="1" applyFill="1" applyBorder="1" applyAlignment="1" applyProtection="1">
      <alignment horizontal="center" vertical="center"/>
      <protection locked="0"/>
    </xf>
    <xf numFmtId="164" fontId="6" fillId="0" borderId="9" xfId="1" applyNumberFormat="1" applyFont="1" applyBorder="1" applyAlignment="1" applyProtection="1">
      <alignment horizontal="center" vertical="center"/>
    </xf>
    <xf numFmtId="0" fontId="45" fillId="8" borderId="61" xfId="0" applyFont="1" applyFill="1" applyBorder="1" applyAlignment="1" applyProtection="1">
      <alignment horizontal="center" vertical="center"/>
      <protection locked="0"/>
    </xf>
    <xf numFmtId="0" fontId="0" fillId="10" borderId="0" xfId="0" applyFill="1" applyProtection="1"/>
    <xf numFmtId="0" fontId="0" fillId="11" borderId="0" xfId="0" applyFill="1" applyProtection="1"/>
    <xf numFmtId="0" fontId="0" fillId="11" borderId="0" xfId="0" applyFill="1" applyAlignment="1" applyProtection="1">
      <alignment vertical="center" wrapText="1"/>
    </xf>
    <xf numFmtId="0" fontId="0" fillId="5" borderId="0" xfId="0" applyFill="1" applyProtection="1"/>
    <xf numFmtId="0" fontId="8" fillId="10" borderId="0" xfId="0" applyFont="1" applyFill="1" applyProtection="1"/>
    <xf numFmtId="0" fontId="0" fillId="10" borderId="0" xfId="0" applyFont="1" applyFill="1" applyProtection="1"/>
    <xf numFmtId="0" fontId="34" fillId="10" borderId="0" xfId="0" applyFont="1" applyFill="1" applyProtection="1"/>
    <xf numFmtId="14" fontId="34" fillId="10" borderId="0" xfId="0" applyNumberFormat="1" applyFont="1" applyFill="1" applyAlignment="1" applyProtection="1">
      <alignment horizontal="center" vertical="center"/>
    </xf>
    <xf numFmtId="0" fontId="35" fillId="10" borderId="0" xfId="0" applyFont="1" applyFill="1" applyProtection="1"/>
    <xf numFmtId="0" fontId="35" fillId="5" borderId="0" xfId="0" applyFont="1" applyFill="1" applyProtection="1"/>
    <xf numFmtId="0" fontId="36" fillId="10" borderId="0" xfId="0" applyFont="1" applyFill="1" applyProtection="1"/>
    <xf numFmtId="0" fontId="16" fillId="10" borderId="0" xfId="0" applyFont="1" applyFill="1" applyProtection="1"/>
    <xf numFmtId="0" fontId="16" fillId="5" borderId="0" xfId="0" applyFont="1" applyFill="1" applyProtection="1"/>
    <xf numFmtId="0" fontId="19" fillId="10" borderId="0" xfId="0" applyFont="1" applyFill="1" applyProtection="1"/>
    <xf numFmtId="0" fontId="27" fillId="10" borderId="0" xfId="0" applyFont="1" applyFill="1" applyProtection="1"/>
    <xf numFmtId="0" fontId="16" fillId="10" borderId="0" xfId="0" applyFont="1" applyFill="1" applyAlignment="1" applyProtection="1">
      <alignment vertical="center" wrapText="1"/>
    </xf>
    <xf numFmtId="0" fontId="19" fillId="10" borderId="0" xfId="0" applyFont="1" applyFill="1" applyAlignment="1" applyProtection="1">
      <alignment vertical="center"/>
    </xf>
    <xf numFmtId="0" fontId="16" fillId="10" borderId="0" xfId="0" applyFont="1" applyFill="1" applyAlignment="1" applyProtection="1">
      <alignment vertical="center"/>
    </xf>
    <xf numFmtId="0" fontId="3" fillId="10" borderId="0" xfId="0" applyFont="1" applyFill="1" applyProtection="1"/>
    <xf numFmtId="0" fontId="19" fillId="10" borderId="0" xfId="0" applyFont="1" applyFill="1" applyAlignment="1" applyProtection="1">
      <alignment horizontal="right"/>
    </xf>
    <xf numFmtId="0" fontId="7" fillId="10" borderId="0" xfId="0" applyFont="1" applyFill="1" applyProtection="1"/>
    <xf numFmtId="0" fontId="3" fillId="10" borderId="55" xfId="0" applyFont="1" applyFill="1" applyBorder="1" applyAlignment="1" applyProtection="1">
      <alignment horizontal="center" vertical="center" wrapText="1"/>
    </xf>
    <xf numFmtId="0" fontId="3" fillId="10" borderId="56" xfId="0" applyFont="1" applyFill="1" applyBorder="1" applyProtection="1"/>
    <xf numFmtId="0" fontId="3" fillId="10" borderId="56" xfId="0" applyFont="1" applyFill="1" applyBorder="1" applyAlignment="1" applyProtection="1">
      <alignment horizontal="center" vertical="center" wrapText="1"/>
    </xf>
    <xf numFmtId="0" fontId="3" fillId="10" borderId="57" xfId="0" applyFont="1" applyFill="1" applyBorder="1" applyAlignment="1" applyProtection="1">
      <alignment horizontal="center" vertical="center" wrapText="1"/>
    </xf>
    <xf numFmtId="0" fontId="29" fillId="10" borderId="53" xfId="0" applyFont="1" applyFill="1" applyBorder="1" applyAlignment="1" applyProtection="1">
      <alignment horizontal="center" vertical="center"/>
    </xf>
    <xf numFmtId="0" fontId="29" fillId="10" borderId="49" xfId="0" applyFont="1" applyFill="1" applyBorder="1" applyProtection="1"/>
    <xf numFmtId="164" fontId="29" fillId="10" borderId="49" xfId="1" applyNumberFormat="1" applyFont="1" applyFill="1" applyBorder="1" applyProtection="1"/>
    <xf numFmtId="9" fontId="0" fillId="10" borderId="58" xfId="2" applyFont="1" applyFill="1" applyBorder="1" applyProtection="1"/>
    <xf numFmtId="0" fontId="29" fillId="10" borderId="18" xfId="0" applyFont="1" applyFill="1" applyBorder="1" applyAlignment="1" applyProtection="1">
      <alignment horizontal="center" vertical="center"/>
    </xf>
    <xf numFmtId="0" fontId="29" fillId="10" borderId="19" xfId="0" applyFont="1" applyFill="1" applyBorder="1" applyProtection="1"/>
    <xf numFmtId="164" fontId="29" fillId="10" borderId="19" xfId="1" applyNumberFormat="1" applyFont="1" applyFill="1" applyBorder="1" applyProtection="1"/>
    <xf numFmtId="9" fontId="0" fillId="10" borderId="59" xfId="2" applyFont="1" applyFill="1" applyBorder="1" applyProtection="1"/>
    <xf numFmtId="0" fontId="29" fillId="10" borderId="18" xfId="0" applyFont="1" applyFill="1" applyBorder="1" applyProtection="1"/>
    <xf numFmtId="0" fontId="29" fillId="10" borderId="19" xfId="0" applyFont="1" applyFill="1" applyBorder="1" applyAlignment="1" applyProtection="1">
      <alignment horizontal="center" vertical="center"/>
    </xf>
    <xf numFmtId="165" fontId="29" fillId="10" borderId="19" xfId="2" applyNumberFormat="1" applyFont="1" applyFill="1" applyBorder="1" applyAlignment="1" applyProtection="1">
      <alignment horizontal="center" vertical="center"/>
    </xf>
    <xf numFmtId="0" fontId="29" fillId="10" borderId="20" xfId="0" applyFont="1" applyFill="1" applyBorder="1" applyProtection="1"/>
    <xf numFmtId="0" fontId="29" fillId="10" borderId="21" xfId="0" applyFont="1" applyFill="1" applyBorder="1" applyProtection="1"/>
    <xf numFmtId="164" fontId="29" fillId="10" borderId="21" xfId="0" applyNumberFormat="1" applyFont="1" applyFill="1" applyBorder="1" applyProtection="1"/>
    <xf numFmtId="9" fontId="0" fillId="10" borderId="60" xfId="2" applyFont="1" applyFill="1" applyBorder="1" applyProtection="1"/>
    <xf numFmtId="0" fontId="29" fillId="10" borderId="53" xfId="0" applyFont="1" applyFill="1" applyBorder="1" applyProtection="1"/>
    <xf numFmtId="0" fontId="0" fillId="10" borderId="59" xfId="0" applyFill="1" applyBorder="1" applyProtection="1"/>
    <xf numFmtId="0" fontId="0" fillId="10" borderId="52" xfId="0" applyFill="1" applyBorder="1" applyProtection="1"/>
    <xf numFmtId="9" fontId="0" fillId="0" borderId="27" xfId="0" applyNumberFormat="1" applyBorder="1"/>
    <xf numFmtId="9" fontId="0" fillId="0" borderId="28" xfId="0" applyNumberFormat="1" applyBorder="1"/>
    <xf numFmtId="9" fontId="0" fillId="0" borderId="27" xfId="0" applyNumberFormat="1" applyFont="1" applyBorder="1"/>
    <xf numFmtId="0" fontId="0" fillId="0" borderId="0" xfId="0" applyAlignment="1" applyProtection="1">
      <alignment horizontal="center"/>
    </xf>
    <xf numFmtId="0" fontId="3" fillId="5" borderId="13" xfId="0" applyFont="1" applyFill="1" applyBorder="1" applyAlignment="1" applyProtection="1">
      <alignment horizontal="center" vertical="center"/>
    </xf>
    <xf numFmtId="9" fontId="7" fillId="0" borderId="10" xfId="2" applyFont="1" applyFill="1" applyBorder="1" applyAlignment="1">
      <alignment horizontal="center" vertical="center"/>
    </xf>
    <xf numFmtId="165" fontId="7" fillId="0" borderId="10" xfId="2" applyNumberFormat="1" applyFont="1" applyFill="1" applyBorder="1" applyAlignment="1">
      <alignment horizontal="center" vertical="center"/>
    </xf>
    <xf numFmtId="164" fontId="4" fillId="4" borderId="10" xfId="1" applyNumberFormat="1" applyFont="1" applyFill="1" applyBorder="1" applyAlignment="1">
      <alignment horizontal="center" vertical="center"/>
    </xf>
    <xf numFmtId="44" fontId="6" fillId="2" borderId="10" xfId="1" applyFont="1" applyFill="1" applyBorder="1" applyAlignment="1" applyProtection="1">
      <alignment horizontal="center" vertical="center"/>
      <protection locked="0"/>
    </xf>
    <xf numFmtId="9" fontId="4" fillId="2" borderId="10" xfId="2" applyFont="1" applyFill="1" applyBorder="1" applyAlignment="1" applyProtection="1">
      <alignment horizontal="center" vertical="center"/>
      <protection locked="0"/>
    </xf>
    <xf numFmtId="165" fontId="4" fillId="2" borderId="10" xfId="2" applyNumberFormat="1" applyFont="1" applyFill="1" applyBorder="1" applyAlignment="1" applyProtection="1">
      <alignment horizontal="center" vertical="center"/>
      <protection locked="0"/>
    </xf>
    <xf numFmtId="0" fontId="45" fillId="8" borderId="61"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xf>
    <xf numFmtId="0" fontId="0" fillId="0" borderId="61" xfId="0" applyBorder="1"/>
    <xf numFmtId="0" fontId="0" fillId="0" borderId="61" xfId="0" applyBorder="1" applyAlignment="1">
      <alignment horizontal="center"/>
    </xf>
    <xf numFmtId="0" fontId="0" fillId="0" borderId="31" xfId="0" applyBorder="1"/>
    <xf numFmtId="164" fontId="29" fillId="10" borderId="83" xfId="1" applyNumberFormat="1" applyFont="1" applyFill="1" applyBorder="1" applyProtection="1"/>
    <xf numFmtId="9" fontId="0" fillId="0" borderId="61" xfId="2" applyFont="1" applyBorder="1" applyAlignment="1">
      <alignment horizontal="center"/>
    </xf>
    <xf numFmtId="164" fontId="0" fillId="0" borderId="24" xfId="2" applyNumberFormat="1" applyFont="1" applyBorder="1"/>
    <xf numFmtId="164" fontId="0" fillId="0" borderId="27" xfId="0" applyNumberFormat="1" applyBorder="1" applyProtection="1">
      <protection hidden="1"/>
    </xf>
    <xf numFmtId="0" fontId="9" fillId="0" borderId="0" xfId="0" applyFont="1" applyFill="1"/>
    <xf numFmtId="0" fontId="4" fillId="0" borderId="0" xfId="0" applyFont="1" applyFill="1"/>
    <xf numFmtId="0" fontId="6" fillId="0" borderId="0" xfId="0" applyFont="1" applyFill="1"/>
    <xf numFmtId="0" fontId="0" fillId="0" borderId="0" xfId="0" applyFill="1" applyAlignment="1">
      <alignment wrapText="1"/>
    </xf>
    <xf numFmtId="0" fontId="0" fillId="0" borderId="49" xfId="0" applyFill="1" applyBorder="1" applyAlignment="1">
      <alignment horizontal="left" vertical="center" wrapText="1"/>
    </xf>
    <xf numFmtId="0" fontId="48" fillId="0" borderId="19"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30" xfId="0" applyFont="1" applyFill="1" applyBorder="1" applyAlignment="1">
      <alignment horizontal="center" vertical="center"/>
    </xf>
    <xf numFmtId="9" fontId="0" fillId="0" borderId="0" xfId="2" applyNumberFormat="1" applyFont="1"/>
    <xf numFmtId="2" fontId="6" fillId="0" borderId="27" xfId="0" applyNumberFormat="1" applyFont="1" applyBorder="1" applyAlignment="1" applyProtection="1">
      <alignment horizontal="center" vertical="center"/>
    </xf>
    <xf numFmtId="167" fontId="3" fillId="0" borderId="28" xfId="0" applyNumberFormat="1" applyFont="1" applyBorder="1" applyAlignment="1" applyProtection="1">
      <alignment horizontal="center" vertical="center"/>
    </xf>
    <xf numFmtId="0" fontId="3" fillId="0" borderId="10" xfId="0" applyFont="1" applyFill="1" applyBorder="1" applyAlignment="1" applyProtection="1">
      <alignment horizontal="center" vertical="center"/>
    </xf>
    <xf numFmtId="0" fontId="3" fillId="0" borderId="10" xfId="0" applyFont="1" applyFill="1" applyBorder="1" applyAlignment="1">
      <alignment horizontal="center" vertical="center"/>
    </xf>
    <xf numFmtId="0" fontId="3" fillId="0" borderId="0" xfId="0" applyFont="1" applyAlignment="1">
      <alignment vertical="center"/>
    </xf>
    <xf numFmtId="0" fontId="0" fillId="0" borderId="0" xfId="0" applyFill="1" applyAlignment="1">
      <alignment vertical="center"/>
    </xf>
    <xf numFmtId="0" fontId="6" fillId="0" borderId="0" xfId="0" applyFont="1" applyFill="1" applyAlignment="1">
      <alignment vertical="center"/>
    </xf>
    <xf numFmtId="0" fontId="10" fillId="0" borderId="0" xfId="0" applyFont="1" applyFill="1" applyAlignment="1">
      <alignment vertical="center"/>
    </xf>
    <xf numFmtId="0" fontId="15" fillId="8" borderId="13" xfId="0" applyFont="1" applyFill="1" applyBorder="1" applyAlignment="1" applyProtection="1">
      <alignment horizontal="center" vertical="center" wrapText="1"/>
      <protection locked="0"/>
    </xf>
    <xf numFmtId="0" fontId="4" fillId="0" borderId="9" xfId="0" applyFont="1" applyBorder="1" applyAlignment="1">
      <alignment horizontal="center" vertical="center" wrapText="1"/>
    </xf>
    <xf numFmtId="0" fontId="3" fillId="0" borderId="85" xfId="0" applyFont="1" applyFill="1" applyBorder="1" applyAlignment="1">
      <alignment horizontal="center" vertical="center"/>
    </xf>
    <xf numFmtId="0" fontId="0" fillId="0" borderId="64" xfId="0" applyFill="1" applyBorder="1" applyAlignment="1">
      <alignment vertical="center"/>
    </xf>
    <xf numFmtId="0" fontId="0" fillId="0" borderId="0" xfId="0" applyFill="1" applyAlignment="1">
      <alignment horizontal="left"/>
    </xf>
    <xf numFmtId="0" fontId="6" fillId="0" borderId="0" xfId="0" applyFont="1" applyFill="1" applyAlignment="1">
      <alignment horizontal="left"/>
    </xf>
    <xf numFmtId="0" fontId="0" fillId="0" borderId="7" xfId="0" applyFill="1" applyBorder="1" applyAlignment="1">
      <alignment horizontal="left"/>
    </xf>
    <xf numFmtId="0" fontId="0" fillId="0" borderId="86" xfId="0" applyFill="1" applyBorder="1" applyAlignment="1">
      <alignment horizontal="left" vertical="center" wrapText="1"/>
    </xf>
    <xf numFmtId="0" fontId="6" fillId="5" borderId="10" xfId="0" applyFont="1" applyFill="1" applyBorder="1" applyAlignment="1" applyProtection="1">
      <alignment horizontal="left" vertical="center" wrapText="1"/>
    </xf>
    <xf numFmtId="0" fontId="3" fillId="0" borderId="7" xfId="0" applyFont="1" applyBorder="1" applyAlignment="1">
      <alignment vertical="center"/>
    </xf>
    <xf numFmtId="0" fontId="0" fillId="0" borderId="16"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18" xfId="0" applyBorder="1" applyAlignment="1">
      <alignment horizontal="right"/>
    </xf>
    <xf numFmtId="0" fontId="0" fillId="0" borderId="27" xfId="0" applyBorder="1" applyAlignment="1" applyProtection="1">
      <alignment wrapText="1"/>
    </xf>
    <xf numFmtId="0" fontId="0" fillId="0" borderId="27" xfId="0" applyBorder="1" applyAlignment="1" applyProtection="1">
      <alignment vertical="center" wrapText="1"/>
    </xf>
    <xf numFmtId="0" fontId="0" fillId="0" borderId="27" xfId="0" applyBorder="1" applyAlignment="1" applyProtection="1"/>
    <xf numFmtId="0" fontId="0" fillId="0" borderId="28" xfId="0" applyBorder="1" applyAlignment="1" applyProtection="1"/>
    <xf numFmtId="0" fontId="4" fillId="0" borderId="0" xfId="0" applyFont="1" applyBorder="1" applyAlignment="1" applyProtection="1">
      <alignment vertical="center"/>
      <protection hidden="1"/>
    </xf>
    <xf numFmtId="0" fontId="0" fillId="0" borderId="17" xfId="0" applyBorder="1" applyAlignment="1" applyProtection="1">
      <alignment horizontal="center"/>
      <protection hidden="1"/>
    </xf>
    <xf numFmtId="0" fontId="0" fillId="0" borderId="16" xfId="0" applyBorder="1" applyProtection="1">
      <protection hidden="1"/>
    </xf>
    <xf numFmtId="44" fontId="0" fillId="0" borderId="17" xfId="0" applyNumberFormat="1" applyBorder="1" applyProtection="1">
      <protection hidden="1"/>
    </xf>
    <xf numFmtId="44" fontId="0" fillId="0" borderId="24" xfId="0" applyNumberFormat="1" applyBorder="1" applyProtection="1">
      <protection hidden="1"/>
    </xf>
    <xf numFmtId="0" fontId="0" fillId="0" borderId="61" xfId="0" applyBorder="1" applyAlignment="1">
      <alignment horizontal="center" vertical="center" wrapText="1"/>
    </xf>
    <xf numFmtId="0" fontId="0" fillId="0" borderId="61" xfId="0" applyFill="1" applyBorder="1" applyAlignment="1">
      <alignment horizontal="center" vertical="center" wrapText="1"/>
    </xf>
    <xf numFmtId="2" fontId="0" fillId="0" borderId="61" xfId="0" applyNumberFormat="1" applyFill="1" applyBorder="1"/>
    <xf numFmtId="0" fontId="6" fillId="0" borderId="0" xfId="0" applyFont="1" applyAlignment="1" applyProtection="1">
      <alignment horizontal="center" vertical="center"/>
    </xf>
    <xf numFmtId="0" fontId="6" fillId="0" borderId="0" xfId="0" applyFont="1" applyAlignment="1" applyProtection="1">
      <alignment vertical="center"/>
    </xf>
    <xf numFmtId="0" fontId="4" fillId="0" borderId="0" xfId="0" applyFont="1" applyBorder="1" applyProtection="1">
      <protection hidden="1"/>
    </xf>
    <xf numFmtId="0" fontId="4" fillId="0" borderId="16" xfId="0" applyFont="1" applyBorder="1" applyAlignment="1">
      <alignment vertical="center"/>
    </xf>
    <xf numFmtId="0" fontId="6" fillId="0" borderId="7" xfId="0" applyFont="1" applyBorder="1" applyAlignment="1">
      <alignment vertical="center"/>
    </xf>
    <xf numFmtId="0" fontId="4" fillId="0" borderId="7" xfId="0" applyFont="1" applyBorder="1" applyAlignment="1">
      <alignment vertical="center"/>
    </xf>
    <xf numFmtId="0" fontId="4" fillId="0" borderId="7" xfId="0" applyFont="1" applyBorder="1" applyAlignment="1">
      <alignment horizontal="center" vertical="center"/>
    </xf>
    <xf numFmtId="0" fontId="4" fillId="0" borderId="61" xfId="0" applyFont="1" applyBorder="1" applyAlignment="1" applyProtection="1">
      <alignment vertical="center" wrapText="1"/>
    </xf>
    <xf numFmtId="0" fontId="0" fillId="0" borderId="53" xfId="0" applyBorder="1" applyAlignment="1" applyProtection="1">
      <alignment horizontal="center" vertical="center" wrapText="1"/>
    </xf>
    <xf numFmtId="0" fontId="0" fillId="0" borderId="49" xfId="0" applyBorder="1" applyAlignment="1" applyProtection="1">
      <alignment horizontal="center" vertical="center" wrapText="1"/>
    </xf>
    <xf numFmtId="0" fontId="0" fillId="0" borderId="54" xfId="0" applyBorder="1" applyAlignment="1" applyProtection="1">
      <alignment horizontal="center" vertical="center" wrapText="1"/>
    </xf>
    <xf numFmtId="0" fontId="0" fillId="0" borderId="79" xfId="0" applyBorder="1" applyAlignment="1" applyProtection="1">
      <alignment horizontal="left" vertical="center"/>
    </xf>
    <xf numFmtId="0" fontId="0" fillId="0" borderId="88" xfId="0" applyBorder="1" applyAlignment="1" applyProtection="1">
      <alignment horizontal="left" vertical="center"/>
    </xf>
    <xf numFmtId="0" fontId="4" fillId="0" borderId="55" xfId="0" applyFont="1" applyBorder="1" applyAlignment="1" applyProtection="1">
      <alignment vertical="center" wrapText="1"/>
    </xf>
    <xf numFmtId="0" fontId="4" fillId="0" borderId="16" xfId="0" applyFont="1" applyBorder="1" applyAlignment="1" applyProtection="1">
      <alignment vertical="center"/>
    </xf>
    <xf numFmtId="0" fontId="4" fillId="0" borderId="37" xfId="0" applyFont="1" applyBorder="1" applyAlignment="1" applyProtection="1">
      <alignment vertical="center"/>
    </xf>
    <xf numFmtId="0" fontId="4" fillId="0" borderId="9"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3" fillId="5" borderId="22" xfId="0" applyFont="1" applyFill="1" applyBorder="1" applyAlignment="1" applyProtection="1">
      <alignment horizontal="center" vertical="center"/>
    </xf>
    <xf numFmtId="0" fontId="3" fillId="5" borderId="14" xfId="0" applyFont="1" applyFill="1" applyBorder="1" applyAlignment="1" applyProtection="1">
      <alignment vertical="center" wrapText="1"/>
    </xf>
    <xf numFmtId="0" fontId="0" fillId="0" borderId="0" xfId="0" applyAlignment="1">
      <alignment horizontal="center"/>
    </xf>
    <xf numFmtId="0" fontId="3" fillId="8" borderId="13" xfId="0" applyFont="1" applyFill="1" applyBorder="1" applyAlignment="1" applyProtection="1">
      <alignment horizontal="center" vertical="center" wrapText="1"/>
      <protection locked="0"/>
    </xf>
    <xf numFmtId="0" fontId="3" fillId="8" borderId="15" xfId="0" applyFont="1" applyFill="1" applyBorder="1" applyAlignment="1" applyProtection="1">
      <alignment horizontal="center" vertical="center" wrapText="1"/>
      <protection locked="0"/>
    </xf>
    <xf numFmtId="0" fontId="4" fillId="0" borderId="37" xfId="0" applyFont="1" applyBorder="1" applyAlignment="1" applyProtection="1">
      <alignment horizontal="left" vertical="center" wrapText="1"/>
    </xf>
    <xf numFmtId="0" fontId="4" fillId="0" borderId="34" xfId="0" applyFont="1" applyBorder="1" applyAlignment="1">
      <alignment horizontal="center" vertical="center" wrapText="1"/>
    </xf>
    <xf numFmtId="0" fontId="4" fillId="0" borderId="37" xfId="0" applyFont="1" applyBorder="1" applyAlignment="1">
      <alignment vertical="center"/>
    </xf>
    <xf numFmtId="0" fontId="4" fillId="0" borderId="63" xfId="0" applyFont="1" applyBorder="1" applyAlignment="1">
      <alignment vertical="center"/>
    </xf>
    <xf numFmtId="0" fontId="4" fillId="0" borderId="73" xfId="0" applyFont="1" applyBorder="1" applyAlignment="1">
      <alignment vertical="center"/>
    </xf>
    <xf numFmtId="44" fontId="0" fillId="0" borderId="0" xfId="0" applyNumberFormat="1" applyBorder="1"/>
    <xf numFmtId="9" fontId="0" fillId="0" borderId="0" xfId="2" applyFont="1" applyBorder="1"/>
    <xf numFmtId="0" fontId="0" fillId="0" borderId="0" xfId="0" applyBorder="1" applyAlignment="1">
      <alignment horizontal="center"/>
    </xf>
    <xf numFmtId="0" fontId="0" fillId="0" borderId="53" xfId="0" applyBorder="1"/>
    <xf numFmtId="0" fontId="4" fillId="0" borderId="61" xfId="0" applyFont="1" applyBorder="1" applyAlignment="1">
      <alignment horizontal="left" vertical="center" wrapText="1"/>
    </xf>
    <xf numFmtId="0" fontId="14" fillId="0" borderId="11" xfId="0" applyFont="1" applyFill="1" applyBorder="1" applyAlignment="1">
      <alignment vertical="center" wrapText="1"/>
    </xf>
    <xf numFmtId="0" fontId="4" fillId="0" borderId="0" xfId="0" applyFont="1" applyFill="1" applyBorder="1" applyProtection="1">
      <protection hidden="1"/>
    </xf>
    <xf numFmtId="0" fontId="0" fillId="0" borderId="49" xfId="0" applyBorder="1"/>
    <xf numFmtId="0" fontId="0" fillId="0" borderId="54" xfId="0" applyBorder="1"/>
    <xf numFmtId="164" fontId="6" fillId="0" borderId="10" xfId="1" applyNumberFormat="1" applyFont="1" applyFill="1" applyBorder="1" applyAlignment="1">
      <alignment horizontal="center" vertical="center"/>
    </xf>
    <xf numFmtId="0" fontId="4" fillId="0" borderId="37" xfId="0" applyFont="1" applyBorder="1" applyAlignment="1" applyProtection="1">
      <alignment vertical="center" wrapText="1"/>
    </xf>
    <xf numFmtId="0" fontId="4" fillId="0" borderId="0" xfId="0" applyFont="1" applyBorder="1" applyAlignment="1" applyProtection="1">
      <alignment vertical="center" wrapText="1"/>
    </xf>
    <xf numFmtId="0" fontId="7" fillId="0" borderId="0" xfId="0" applyFont="1" applyBorder="1" applyAlignment="1">
      <alignment vertical="center"/>
    </xf>
    <xf numFmtId="44" fontId="0" fillId="0" borderId="21" xfId="0" applyNumberFormat="1" applyBorder="1" applyProtection="1"/>
    <xf numFmtId="0" fontId="0" fillId="0" borderId="21" xfId="0" applyBorder="1" applyAlignment="1" applyProtection="1">
      <alignment horizontal="center"/>
    </xf>
    <xf numFmtId="44" fontId="0" fillId="0" borderId="28" xfId="0" applyNumberFormat="1" applyBorder="1" applyProtection="1"/>
    <xf numFmtId="0" fontId="3" fillId="8" borderId="13" xfId="0" applyFont="1" applyFill="1" applyBorder="1" applyAlignment="1" applyProtection="1">
      <alignment horizontal="center" vertical="center" wrapText="1"/>
      <protection locked="0"/>
    </xf>
    <xf numFmtId="167" fontId="37" fillId="10" borderId="31" xfId="0" applyNumberFormat="1" applyFont="1" applyFill="1" applyBorder="1" applyAlignment="1" applyProtection="1">
      <alignment wrapText="1"/>
    </xf>
    <xf numFmtId="0" fontId="3" fillId="10" borderId="0" xfId="0" applyFont="1" applyFill="1" applyAlignment="1" applyProtection="1">
      <alignment vertical="center"/>
    </xf>
    <xf numFmtId="0" fontId="3" fillId="10" borderId="56" xfId="0" applyFont="1" applyFill="1" applyBorder="1" applyAlignment="1" applyProtection="1">
      <alignment vertical="center" wrapText="1"/>
    </xf>
    <xf numFmtId="164" fontId="30" fillId="10" borderId="49" xfId="1" applyNumberFormat="1" applyFont="1" applyFill="1" applyBorder="1" applyAlignment="1" applyProtection="1"/>
    <xf numFmtId="164" fontId="30" fillId="10" borderId="23" xfId="1" applyNumberFormat="1" applyFont="1" applyFill="1" applyBorder="1" applyAlignment="1" applyProtection="1"/>
    <xf numFmtId="164" fontId="30" fillId="10" borderId="19" xfId="1" applyNumberFormat="1" applyFont="1" applyFill="1" applyBorder="1" applyAlignment="1" applyProtection="1">
      <alignment vertical="center"/>
    </xf>
    <xf numFmtId="164" fontId="30" fillId="10" borderId="19" xfId="1" applyNumberFormat="1" applyFont="1" applyFill="1" applyBorder="1" applyAlignment="1" applyProtection="1"/>
    <xf numFmtId="164" fontId="28" fillId="10" borderId="19" xfId="0" applyNumberFormat="1" applyFont="1" applyFill="1" applyBorder="1" applyAlignment="1" applyProtection="1"/>
    <xf numFmtId="0" fontId="29" fillId="10" borderId="19" xfId="0" applyFont="1" applyFill="1" applyBorder="1" applyAlignment="1" applyProtection="1"/>
    <xf numFmtId="0" fontId="29" fillId="10" borderId="21" xfId="0" applyFont="1" applyFill="1" applyBorder="1" applyAlignment="1" applyProtection="1"/>
    <xf numFmtId="164" fontId="14" fillId="10" borderId="49" xfId="0" applyNumberFormat="1" applyFont="1" applyFill="1" applyBorder="1" applyAlignment="1" applyProtection="1"/>
    <xf numFmtId="164" fontId="14" fillId="10" borderId="19" xfId="0" applyNumberFormat="1" applyFont="1" applyFill="1" applyBorder="1" applyAlignment="1" applyProtection="1"/>
    <xf numFmtId="49" fontId="22" fillId="2" borderId="61" xfId="0" applyNumberFormat="1" applyFont="1" applyFill="1" applyBorder="1" applyAlignment="1" applyProtection="1">
      <alignment horizontal="center" wrapText="1"/>
      <protection locked="0"/>
    </xf>
    <xf numFmtId="0" fontId="22" fillId="2" borderId="61" xfId="0" applyFont="1" applyFill="1" applyBorder="1" applyAlignment="1" applyProtection="1">
      <alignment horizontal="center" wrapText="1"/>
      <protection locked="0"/>
    </xf>
    <xf numFmtId="0" fontId="30" fillId="10" borderId="37" xfId="0" applyFont="1" applyFill="1" applyBorder="1" applyAlignment="1" applyProtection="1"/>
    <xf numFmtId="0" fontId="29" fillId="10" borderId="63" xfId="0" applyFont="1" applyFill="1" applyBorder="1" applyAlignment="1" applyProtection="1"/>
    <xf numFmtId="0" fontId="29" fillId="10" borderId="29" xfId="0" applyFont="1" applyFill="1" applyBorder="1" applyAlignment="1" applyProtection="1"/>
    <xf numFmtId="0" fontId="30" fillId="10" borderId="23" xfId="0" applyFont="1" applyFill="1" applyBorder="1" applyProtection="1"/>
    <xf numFmtId="0" fontId="29" fillId="10" borderId="74" xfId="0" applyFont="1" applyFill="1" applyBorder="1" applyProtection="1"/>
    <xf numFmtId="0" fontId="29" fillId="10" borderId="30" xfId="0" applyFont="1" applyFill="1" applyBorder="1" applyProtection="1"/>
    <xf numFmtId="0" fontId="29" fillId="10" borderId="23" xfId="0" applyFont="1" applyFill="1" applyBorder="1" applyProtection="1"/>
    <xf numFmtId="0" fontId="29" fillId="10" borderId="30" xfId="0" applyFont="1" applyFill="1" applyBorder="1" applyAlignment="1" applyProtection="1">
      <alignment horizontal="right"/>
    </xf>
    <xf numFmtId="0" fontId="29" fillId="10" borderId="67" xfId="0" applyFont="1" applyFill="1" applyBorder="1" applyProtection="1"/>
    <xf numFmtId="0" fontId="29" fillId="10" borderId="90" xfId="0" applyFont="1" applyFill="1" applyBorder="1" applyProtection="1"/>
    <xf numFmtId="0" fontId="29" fillId="10" borderId="80" xfId="0" applyFont="1" applyFill="1" applyBorder="1" applyProtection="1"/>
    <xf numFmtId="0" fontId="29" fillId="10" borderId="88" xfId="0" applyFont="1" applyFill="1" applyBorder="1" applyProtection="1"/>
    <xf numFmtId="0" fontId="14" fillId="10" borderId="65" xfId="0" applyFont="1" applyFill="1" applyBorder="1" applyProtection="1"/>
    <xf numFmtId="0" fontId="29" fillId="10" borderId="77" xfId="0" applyFont="1" applyFill="1" applyBorder="1" applyProtection="1"/>
    <xf numFmtId="0" fontId="29" fillId="10" borderId="64" xfId="0" applyFont="1" applyFill="1" applyBorder="1" applyProtection="1"/>
    <xf numFmtId="0" fontId="14" fillId="10" borderId="23" xfId="0" applyFont="1" applyFill="1" applyBorder="1" applyProtection="1"/>
    <xf numFmtId="0" fontId="16" fillId="10" borderId="33" xfId="0" applyFont="1" applyFill="1" applyBorder="1" applyProtection="1"/>
    <xf numFmtId="0" fontId="29" fillId="10" borderId="66" xfId="0" applyFont="1" applyFill="1" applyBorder="1" applyAlignment="1" applyProtection="1">
      <alignment horizontal="center" vertical="center"/>
    </xf>
    <xf numFmtId="0" fontId="30" fillId="10" borderId="91" xfId="0" applyFont="1" applyFill="1" applyBorder="1" applyProtection="1"/>
    <xf numFmtId="0" fontId="29" fillId="10" borderId="89" xfId="0" applyFont="1" applyFill="1" applyBorder="1" applyProtection="1"/>
    <xf numFmtId="0" fontId="29" fillId="10" borderId="83" xfId="0" applyFont="1" applyFill="1" applyBorder="1" applyProtection="1"/>
    <xf numFmtId="0" fontId="30" fillId="10" borderId="65" xfId="0" applyFont="1" applyFill="1" applyBorder="1" applyProtection="1"/>
    <xf numFmtId="0" fontId="29" fillId="10" borderId="49" xfId="0" applyFont="1" applyFill="1" applyBorder="1" applyAlignment="1" applyProtection="1">
      <alignment horizontal="center" vertical="center"/>
    </xf>
    <xf numFmtId="0" fontId="29" fillId="10" borderId="49" xfId="0" applyFont="1" applyFill="1" applyBorder="1" applyAlignment="1" applyProtection="1"/>
    <xf numFmtId="9" fontId="0" fillId="10" borderId="92" xfId="2" applyFont="1" applyFill="1" applyBorder="1" applyProtection="1"/>
    <xf numFmtId="0" fontId="29" fillId="10" borderId="55" xfId="0" applyFont="1" applyFill="1" applyBorder="1" applyProtection="1"/>
    <xf numFmtId="0" fontId="28" fillId="10" borderId="87" xfId="0" applyFont="1" applyFill="1" applyBorder="1" applyProtection="1"/>
    <xf numFmtId="0" fontId="28" fillId="10" borderId="32" xfId="0" applyFont="1" applyFill="1" applyBorder="1" applyProtection="1"/>
    <xf numFmtId="0" fontId="28" fillId="10" borderId="93" xfId="0" applyFont="1" applyFill="1" applyBorder="1" applyProtection="1"/>
    <xf numFmtId="0" fontId="28" fillId="10" borderId="56" xfId="0" applyFont="1" applyFill="1" applyBorder="1" applyProtection="1"/>
    <xf numFmtId="164" fontId="28" fillId="10" borderId="56" xfId="0" applyNumberFormat="1" applyFont="1" applyFill="1" applyBorder="1" applyAlignment="1" applyProtection="1"/>
    <xf numFmtId="0" fontId="0" fillId="5" borderId="61" xfId="0" applyFill="1" applyBorder="1" applyAlignment="1">
      <alignment vertical="center" wrapText="1"/>
    </xf>
    <xf numFmtId="0" fontId="0" fillId="0" borderId="1" xfId="0" applyFont="1" applyFill="1" applyBorder="1" applyAlignment="1">
      <alignment vertical="center"/>
    </xf>
    <xf numFmtId="0" fontId="0" fillId="0" borderId="6" xfId="0" applyFont="1" applyFill="1" applyBorder="1" applyAlignment="1">
      <alignment vertical="center"/>
    </xf>
    <xf numFmtId="0" fontId="0" fillId="0" borderId="0" xfId="0" applyFont="1" applyAlignment="1"/>
    <xf numFmtId="0" fontId="50" fillId="0" borderId="10" xfId="0" applyFont="1" applyBorder="1" applyAlignment="1" applyProtection="1">
      <alignment horizontal="left" vertical="center" wrapText="1"/>
    </xf>
    <xf numFmtId="166" fontId="3" fillId="2" borderId="10" xfId="0" applyNumberFormat="1" applyFont="1" applyFill="1" applyBorder="1" applyAlignment="1" applyProtection="1">
      <alignment horizontal="center" vertical="center"/>
      <protection locked="0"/>
    </xf>
    <xf numFmtId="166" fontId="10" fillId="2" borderId="10" xfId="0" applyNumberFormat="1" applyFont="1" applyFill="1" applyBorder="1" applyAlignment="1" applyProtection="1">
      <alignment horizontal="center" vertical="center"/>
      <protection locked="0"/>
    </xf>
    <xf numFmtId="3" fontId="0" fillId="2" borderId="10" xfId="0" applyNumberFormat="1" applyFont="1" applyFill="1" applyBorder="1" applyAlignment="1" applyProtection="1">
      <alignment horizontal="center" vertical="center"/>
      <protection locked="0"/>
    </xf>
    <xf numFmtId="3" fontId="3" fillId="5" borderId="10" xfId="0" applyNumberFormat="1" applyFont="1" applyFill="1" applyBorder="1" applyAlignment="1" applyProtection="1">
      <alignment horizontal="center" vertical="center"/>
    </xf>
    <xf numFmtId="164" fontId="30" fillId="10" borderId="91" xfId="1" applyNumberFormat="1" applyFont="1" applyFill="1" applyBorder="1" applyAlignment="1" applyProtection="1"/>
    <xf numFmtId="44" fontId="6" fillId="8" borderId="9" xfId="1" applyFont="1" applyFill="1" applyBorder="1" applyAlignment="1" applyProtection="1">
      <alignment horizontal="center" vertical="center"/>
      <protection locked="0"/>
    </xf>
    <xf numFmtId="164" fontId="6" fillId="0" borderId="9" xfId="1" applyNumberFormat="1" applyFont="1" applyBorder="1" applyAlignment="1" applyProtection="1">
      <alignment horizontal="center" vertical="center"/>
    </xf>
    <xf numFmtId="0" fontId="4" fillId="0" borderId="9" xfId="0" applyFont="1" applyBorder="1" applyAlignment="1" applyProtection="1">
      <alignment horizontal="center" vertical="center"/>
    </xf>
    <xf numFmtId="0" fontId="10" fillId="0" borderId="0" xfId="0" applyFont="1" applyFill="1" applyAlignment="1">
      <alignment horizontal="left" vertical="center"/>
    </xf>
    <xf numFmtId="0" fontId="6" fillId="12" borderId="34" xfId="0" applyFont="1" applyFill="1" applyBorder="1" applyAlignment="1">
      <alignment horizontal="center" vertical="center"/>
    </xf>
    <xf numFmtId="0" fontId="6" fillId="12" borderId="0" xfId="0" applyFont="1" applyFill="1" applyBorder="1" applyAlignment="1">
      <alignment horizontal="center" vertical="center"/>
    </xf>
    <xf numFmtId="0" fontId="10" fillId="12" borderId="45" xfId="0" applyFont="1" applyFill="1" applyBorder="1" applyAlignment="1">
      <alignment vertical="center"/>
    </xf>
    <xf numFmtId="0" fontId="6" fillId="12" borderId="67" xfId="0" applyFont="1" applyFill="1" applyBorder="1" applyAlignment="1">
      <alignment horizontal="right"/>
    </xf>
    <xf numFmtId="167" fontId="3" fillId="12" borderId="68" xfId="0" applyNumberFormat="1" applyFont="1" applyFill="1" applyBorder="1" applyAlignment="1">
      <alignment horizontal="center"/>
    </xf>
    <xf numFmtId="0" fontId="3" fillId="12" borderId="46" xfId="0" applyFont="1" applyFill="1" applyBorder="1" applyAlignment="1">
      <alignment horizontal="center" vertical="center"/>
    </xf>
    <xf numFmtId="0" fontId="3" fillId="12" borderId="47" xfId="0" applyFont="1" applyFill="1" applyBorder="1" applyAlignment="1">
      <alignment horizontal="center" vertical="center"/>
    </xf>
    <xf numFmtId="0" fontId="0" fillId="12" borderId="48" xfId="0" applyFill="1" applyBorder="1"/>
    <xf numFmtId="9" fontId="6" fillId="12" borderId="72" xfId="0" applyNumberFormat="1" applyFont="1" applyFill="1" applyBorder="1" applyAlignment="1">
      <alignment horizontal="center"/>
    </xf>
    <xf numFmtId="0" fontId="3" fillId="12" borderId="46" xfId="0" applyFont="1" applyFill="1" applyBorder="1" applyAlignment="1">
      <alignment vertical="center" wrapText="1"/>
    </xf>
    <xf numFmtId="0" fontId="3" fillId="12" borderId="48" xfId="0" applyFont="1" applyFill="1" applyBorder="1" applyAlignment="1">
      <alignment vertical="center" wrapText="1"/>
    </xf>
    <xf numFmtId="0" fontId="3" fillId="12" borderId="17" xfId="0" applyFont="1" applyFill="1" applyBorder="1" applyAlignment="1">
      <alignment horizontal="center" vertical="center" wrapText="1"/>
    </xf>
    <xf numFmtId="0" fontId="3" fillId="12" borderId="24" xfId="0" applyFont="1" applyFill="1" applyBorder="1" applyAlignment="1">
      <alignment horizontal="center" vertical="center" wrapText="1"/>
    </xf>
    <xf numFmtId="0" fontId="26" fillId="12" borderId="16" xfId="0" applyFont="1" applyFill="1" applyBorder="1" applyAlignment="1">
      <alignment horizontal="center" vertical="center" wrapText="1"/>
    </xf>
    <xf numFmtId="0" fontId="26" fillId="12" borderId="49" xfId="0" applyFont="1" applyFill="1" applyBorder="1" applyAlignment="1">
      <alignment horizontal="center" vertical="center" wrapText="1"/>
    </xf>
    <xf numFmtId="0" fontId="26" fillId="12" borderId="17" xfId="0" applyFont="1" applyFill="1" applyBorder="1" applyAlignment="1">
      <alignment horizontal="center" vertical="center" wrapText="1"/>
    </xf>
    <xf numFmtId="0" fontId="26" fillId="12" borderId="37" xfId="0" applyFont="1" applyFill="1" applyBorder="1" applyAlignment="1">
      <alignment horizontal="center" vertical="center" wrapText="1"/>
    </xf>
    <xf numFmtId="0" fontId="3" fillId="12" borderId="38" xfId="0" applyFont="1" applyFill="1" applyBorder="1" applyAlignment="1">
      <alignment horizontal="center" vertical="center" wrapText="1"/>
    </xf>
    <xf numFmtId="0" fontId="3" fillId="12" borderId="39" xfId="0" applyFont="1" applyFill="1" applyBorder="1" applyAlignment="1">
      <alignment horizontal="center" vertical="center" wrapText="1"/>
    </xf>
    <xf numFmtId="0" fontId="3" fillId="12" borderId="40" xfId="0" applyFont="1" applyFill="1" applyBorder="1" applyAlignment="1">
      <alignment horizontal="center" vertical="center" wrapText="1"/>
    </xf>
    <xf numFmtId="0" fontId="3" fillId="12" borderId="69" xfId="0" applyFont="1" applyFill="1" applyBorder="1" applyAlignment="1">
      <alignment horizontal="center" vertical="center" wrapText="1"/>
    </xf>
    <xf numFmtId="0" fontId="3" fillId="12" borderId="70" xfId="0" applyFont="1" applyFill="1" applyBorder="1" applyAlignment="1">
      <alignment horizontal="center" vertical="center" wrapText="1"/>
    </xf>
    <xf numFmtId="0" fontId="3" fillId="12" borderId="71" xfId="0" applyFont="1" applyFill="1" applyBorder="1" applyAlignment="1">
      <alignment horizontal="center" vertical="center" wrapText="1"/>
    </xf>
    <xf numFmtId="0" fontId="16" fillId="12" borderId="49" xfId="0" applyFont="1" applyFill="1" applyBorder="1" applyAlignment="1">
      <alignment horizontal="center" vertical="center" wrapText="1"/>
    </xf>
    <xf numFmtId="0" fontId="0" fillId="12" borderId="49" xfId="0" applyFill="1" applyBorder="1" applyAlignment="1">
      <alignment horizontal="left" vertical="center" wrapText="1"/>
    </xf>
    <xf numFmtId="0" fontId="0" fillId="12" borderId="65" xfId="0" applyFill="1" applyBorder="1" applyAlignment="1">
      <alignment horizontal="center" vertical="center" wrapText="1"/>
    </xf>
    <xf numFmtId="44" fontId="23" fillId="12" borderId="18" xfId="1" applyFont="1" applyFill="1" applyBorder="1" applyAlignment="1">
      <alignment horizontal="center" vertical="center"/>
    </xf>
    <xf numFmtId="44" fontId="23" fillId="12" borderId="19" xfId="1" applyFont="1" applyFill="1" applyBorder="1" applyAlignment="1">
      <alignment horizontal="center" vertical="center"/>
    </xf>
    <xf numFmtId="44" fontId="23" fillId="12" borderId="23" xfId="0" applyNumberFormat="1" applyFont="1" applyFill="1" applyBorder="1" applyAlignment="1">
      <alignment horizontal="center" vertical="center"/>
    </xf>
    <xf numFmtId="44" fontId="0" fillId="12" borderId="41" xfId="0" applyNumberFormat="1" applyFill="1" applyBorder="1" applyAlignment="1">
      <alignment horizontal="center" vertical="center"/>
    </xf>
    <xf numFmtId="44" fontId="0" fillId="12" borderId="19" xfId="0" applyNumberFormat="1" applyFill="1" applyBorder="1" applyAlignment="1">
      <alignment horizontal="center" vertical="center"/>
    </xf>
    <xf numFmtId="44" fontId="0" fillId="12" borderId="42" xfId="0" applyNumberFormat="1" applyFill="1" applyBorder="1" applyAlignment="1">
      <alignment horizontal="center" vertical="center"/>
    </xf>
    <xf numFmtId="9" fontId="0" fillId="12" borderId="62" xfId="0" applyNumberFormat="1" applyFill="1" applyBorder="1" applyAlignment="1">
      <alignment horizontal="center" vertical="center"/>
    </xf>
    <xf numFmtId="44" fontId="3" fillId="12" borderId="41" xfId="0" applyNumberFormat="1" applyFont="1" applyFill="1" applyBorder="1" applyAlignment="1">
      <alignment horizontal="center" vertical="center"/>
    </xf>
    <xf numFmtId="0" fontId="0" fillId="12" borderId="42" xfId="0" applyFill="1" applyBorder="1" applyAlignment="1">
      <alignment horizontal="center" vertical="center"/>
    </xf>
    <xf numFmtId="0" fontId="16" fillId="12" borderId="19" xfId="0" applyFont="1" applyFill="1" applyBorder="1" applyAlignment="1">
      <alignment horizontal="center" vertical="center" wrapText="1"/>
    </xf>
    <xf numFmtId="0" fontId="0" fillId="12" borderId="27" xfId="0" applyFill="1" applyBorder="1" applyAlignment="1">
      <alignment horizontal="center" vertical="center" wrapText="1"/>
    </xf>
    <xf numFmtId="44" fontId="0" fillId="12" borderId="30" xfId="0" applyNumberFormat="1" applyFill="1" applyBorder="1" applyAlignment="1">
      <alignment horizontal="center" vertical="center"/>
    </xf>
    <xf numFmtId="44" fontId="0" fillId="12" borderId="19" xfId="1" applyFont="1" applyFill="1" applyBorder="1" applyAlignment="1">
      <alignment horizontal="center" vertical="center"/>
    </xf>
    <xf numFmtId="44" fontId="0" fillId="12" borderId="27" xfId="0" applyNumberFormat="1" applyFill="1" applyBorder="1" applyAlignment="1">
      <alignment horizontal="center" vertical="center"/>
    </xf>
    <xf numFmtId="0" fontId="0" fillId="12" borderId="23" xfId="0" applyFill="1" applyBorder="1" applyAlignment="1">
      <alignment horizontal="center" vertical="center" wrapText="1"/>
    </xf>
    <xf numFmtId="44" fontId="23" fillId="12" borderId="18" xfId="0" applyNumberFormat="1" applyFont="1" applyFill="1" applyBorder="1" applyAlignment="1">
      <alignment vertical="center"/>
    </xf>
    <xf numFmtId="44" fontId="23" fillId="12" borderId="19" xfId="0" applyNumberFormat="1" applyFont="1" applyFill="1" applyBorder="1" applyAlignment="1">
      <alignment vertical="center"/>
    </xf>
    <xf numFmtId="44" fontId="23" fillId="12" borderId="19" xfId="1" applyFont="1" applyFill="1" applyBorder="1" applyAlignment="1">
      <alignment vertical="center"/>
    </xf>
    <xf numFmtId="44" fontId="23" fillId="12" borderId="18" xfId="1" applyFont="1" applyFill="1" applyBorder="1" applyAlignment="1">
      <alignment vertical="center"/>
    </xf>
    <xf numFmtId="44" fontId="23" fillId="12" borderId="23" xfId="1" applyFont="1" applyFill="1" applyBorder="1" applyAlignment="1">
      <alignment vertical="center"/>
    </xf>
    <xf numFmtId="0" fontId="16" fillId="12" borderId="30" xfId="0" applyFont="1" applyFill="1" applyBorder="1" applyAlignment="1">
      <alignment horizontal="center" vertical="center" wrapText="1"/>
    </xf>
    <xf numFmtId="0" fontId="0" fillId="12" borderId="19" xfId="0" applyFill="1" applyBorder="1" applyAlignment="1">
      <alignment horizontal="left" vertical="center" wrapText="1"/>
    </xf>
    <xf numFmtId="0" fontId="0" fillId="12" borderId="23" xfId="0" applyFill="1" applyBorder="1" applyAlignment="1">
      <alignment horizontal="center" vertical="center"/>
    </xf>
    <xf numFmtId="0" fontId="0" fillId="12" borderId="62" xfId="0" applyFill="1" applyBorder="1"/>
    <xf numFmtId="0" fontId="0" fillId="12" borderId="41" xfId="0" applyFill="1" applyBorder="1"/>
    <xf numFmtId="0" fontId="0" fillId="12" borderId="19" xfId="0" applyFill="1" applyBorder="1"/>
    <xf numFmtId="165" fontId="0" fillId="12" borderId="42" xfId="0" applyNumberFormat="1" applyFill="1" applyBorder="1" applyAlignment="1">
      <alignment horizontal="center" vertical="center"/>
    </xf>
    <xf numFmtId="165" fontId="3" fillId="12" borderId="41" xfId="2" applyNumberFormat="1" applyFont="1" applyFill="1" applyBorder="1" applyAlignment="1">
      <alignment horizontal="center" vertical="center"/>
    </xf>
    <xf numFmtId="44" fontId="0" fillId="12" borderId="30" xfId="1" applyFont="1" applyFill="1" applyBorder="1" applyAlignment="1">
      <alignment horizontal="center" vertical="center" wrapText="1"/>
    </xf>
    <xf numFmtId="44" fontId="0" fillId="12" borderId="19" xfId="1" applyFont="1" applyFill="1" applyBorder="1" applyAlignment="1">
      <alignment horizontal="center" vertical="center" wrapText="1"/>
    </xf>
    <xf numFmtId="44" fontId="0" fillId="12" borderId="27" xfId="1" applyFont="1" applyFill="1" applyBorder="1" applyAlignment="1">
      <alignment horizontal="center" vertical="center"/>
    </xf>
    <xf numFmtId="0" fontId="0" fillId="12" borderId="19" xfId="0" applyFill="1" applyBorder="1" applyAlignment="1">
      <alignment horizontal="center" vertical="center"/>
    </xf>
    <xf numFmtId="0" fontId="0" fillId="12" borderId="19" xfId="0" applyFill="1" applyBorder="1" applyAlignment="1">
      <alignment horizontal="center" vertical="center" wrapText="1"/>
    </xf>
    <xf numFmtId="0" fontId="16" fillId="12" borderId="30" xfId="0" applyFont="1" applyFill="1" applyBorder="1" applyAlignment="1">
      <alignment horizontal="center" vertical="center"/>
    </xf>
    <xf numFmtId="44" fontId="0" fillId="12" borderId="19" xfId="0" applyNumberFormat="1" applyFill="1" applyBorder="1" applyAlignment="1">
      <alignment vertical="center"/>
    </xf>
    <xf numFmtId="44" fontId="0" fillId="12" borderId="19" xfId="1" applyFont="1" applyFill="1" applyBorder="1" applyAlignment="1">
      <alignment vertical="center"/>
    </xf>
    <xf numFmtId="0" fontId="0" fillId="12" borderId="22" xfId="0" applyFill="1" applyBorder="1" applyAlignment="1">
      <alignment horizontal="left" vertical="center" wrapText="1"/>
    </xf>
    <xf numFmtId="0" fontId="0" fillId="12" borderId="43" xfId="0" applyFill="1" applyBorder="1" applyAlignment="1">
      <alignment horizontal="left" vertical="center" wrapText="1"/>
    </xf>
    <xf numFmtId="0" fontId="6" fillId="12" borderId="95" xfId="0" applyFont="1" applyFill="1" applyBorder="1" applyAlignment="1">
      <alignment horizontal="right"/>
    </xf>
    <xf numFmtId="0" fontId="0" fillId="12" borderId="0" xfId="0" applyFill="1" applyBorder="1"/>
    <xf numFmtId="0" fontId="3" fillId="12" borderId="0" xfId="0" applyFont="1" applyFill="1" applyBorder="1" applyAlignment="1">
      <alignment horizontal="right"/>
    </xf>
    <xf numFmtId="0" fontId="3" fillId="12" borderId="0" xfId="0" applyFont="1" applyFill="1" applyBorder="1"/>
    <xf numFmtId="0" fontId="3" fillId="12" borderId="94" xfId="0" applyFont="1" applyFill="1" applyBorder="1" applyAlignment="1">
      <alignment horizontal="center" vertical="center" wrapText="1"/>
    </xf>
    <xf numFmtId="0" fontId="4" fillId="12" borderId="70" xfId="0" applyFont="1" applyFill="1" applyBorder="1" applyAlignment="1">
      <alignment horizontal="center" vertical="center"/>
    </xf>
    <xf numFmtId="0" fontId="4" fillId="12" borderId="41" xfId="0" applyFont="1" applyFill="1" applyBorder="1" applyAlignment="1">
      <alignment horizontal="center" vertical="center"/>
    </xf>
    <xf numFmtId="0" fontId="4" fillId="12" borderId="96" xfId="0" applyFont="1" applyFill="1" applyBorder="1" applyAlignment="1">
      <alignment horizontal="center" vertical="center"/>
    </xf>
    <xf numFmtId="0" fontId="16" fillId="12" borderId="97" xfId="0" applyFont="1" applyFill="1" applyBorder="1" applyAlignment="1">
      <alignment horizontal="center" vertical="center" wrapText="1"/>
    </xf>
    <xf numFmtId="0" fontId="0" fillId="12" borderId="98" xfId="0" applyFill="1" applyBorder="1" applyAlignment="1">
      <alignment horizontal="left" vertical="center" wrapText="1"/>
    </xf>
    <xf numFmtId="0" fontId="0" fillId="12" borderId="99" xfId="0" applyFill="1" applyBorder="1" applyAlignment="1">
      <alignment horizontal="center" vertical="center" wrapText="1"/>
    </xf>
    <xf numFmtId="44" fontId="0" fillId="12" borderId="99" xfId="1" applyFont="1" applyFill="1" applyBorder="1" applyAlignment="1">
      <alignment horizontal="center" vertical="center"/>
    </xf>
    <xf numFmtId="44" fontId="0" fillId="12" borderId="100" xfId="0" applyNumberFormat="1" applyFill="1" applyBorder="1" applyAlignment="1">
      <alignment horizontal="center" vertical="center"/>
    </xf>
    <xf numFmtId="44" fontId="0" fillId="12" borderId="96" xfId="0" applyNumberFormat="1" applyFill="1" applyBorder="1" applyAlignment="1">
      <alignment horizontal="center" vertical="center"/>
    </xf>
    <xf numFmtId="44" fontId="0" fillId="12" borderId="99" xfId="0" applyNumberFormat="1" applyFill="1" applyBorder="1" applyAlignment="1">
      <alignment horizontal="center" vertical="center"/>
    </xf>
    <xf numFmtId="44" fontId="0" fillId="12" borderId="101" xfId="0" applyNumberFormat="1" applyFill="1" applyBorder="1" applyAlignment="1">
      <alignment horizontal="center" vertical="center"/>
    </xf>
    <xf numFmtId="9" fontId="0" fillId="12" borderId="72" xfId="0" applyNumberFormat="1" applyFill="1" applyBorder="1" applyAlignment="1">
      <alignment horizontal="center" vertical="center"/>
    </xf>
    <xf numFmtId="44" fontId="3" fillId="12" borderId="96" xfId="0" applyNumberFormat="1" applyFont="1" applyFill="1" applyBorder="1" applyAlignment="1">
      <alignment horizontal="center" vertical="center"/>
    </xf>
    <xf numFmtId="0" fontId="0" fillId="12" borderId="101" xfId="0" applyFill="1" applyBorder="1" applyAlignment="1">
      <alignment horizontal="center" vertical="center"/>
    </xf>
    <xf numFmtId="0" fontId="6" fillId="12" borderId="38" xfId="0" applyFont="1" applyFill="1" applyBorder="1" applyAlignment="1">
      <alignment horizontal="right" vertical="center"/>
    </xf>
    <xf numFmtId="0" fontId="6" fillId="12" borderId="102" xfId="0" applyFont="1" applyFill="1" applyBorder="1" applyAlignment="1">
      <alignment horizontal="right" vertical="center"/>
    </xf>
    <xf numFmtId="2" fontId="6" fillId="12" borderId="103" xfId="0" applyNumberFormat="1" applyFont="1" applyFill="1" applyBorder="1" applyAlignment="1">
      <alignment horizontal="center" vertical="center"/>
    </xf>
    <xf numFmtId="0" fontId="10" fillId="12" borderId="43" xfId="0" applyFont="1" applyFill="1" applyBorder="1" applyAlignment="1">
      <alignment vertical="center"/>
    </xf>
    <xf numFmtId="0" fontId="6" fillId="12" borderId="43" xfId="0" applyFont="1" applyFill="1" applyBorder="1" applyAlignment="1">
      <alignment horizontal="right" vertical="center"/>
    </xf>
    <xf numFmtId="0" fontId="6" fillId="12" borderId="44" xfId="0" applyFont="1" applyFill="1" applyBorder="1" applyAlignment="1">
      <alignment horizontal="right" vertical="center"/>
    </xf>
    <xf numFmtId="0" fontId="3" fillId="0" borderId="0" xfId="0" applyFont="1" applyBorder="1"/>
    <xf numFmtId="14" fontId="3" fillId="0" borderId="0" xfId="0" applyNumberFormat="1" applyFont="1" applyBorder="1" applyAlignment="1">
      <alignment horizontal="center" vertical="center"/>
    </xf>
    <xf numFmtId="0" fontId="34" fillId="0" borderId="0" xfId="0" applyFont="1" applyBorder="1"/>
    <xf numFmtId="0" fontId="21" fillId="0" borderId="0" xfId="0" applyFont="1" applyBorder="1"/>
    <xf numFmtId="0" fontId="4" fillId="0" borderId="0" xfId="0" applyFont="1" applyBorder="1" applyAlignment="1">
      <alignment vertical="center"/>
    </xf>
    <xf numFmtId="0" fontId="0" fillId="0" borderId="0" xfId="0" applyBorder="1" applyAlignment="1">
      <alignment vertical="center"/>
    </xf>
    <xf numFmtId="0" fontId="11" fillId="0" borderId="0" xfId="0" applyFont="1" applyBorder="1"/>
    <xf numFmtId="0" fontId="4" fillId="0" borderId="0" xfId="0" applyFont="1" applyBorder="1" applyAlignment="1">
      <alignment horizontal="right"/>
    </xf>
    <xf numFmtId="0" fontId="23" fillId="0" borderId="0" xfId="0" applyFont="1" applyBorder="1"/>
    <xf numFmtId="0" fontId="4" fillId="0" borderId="0" xfId="0" applyFont="1" applyFill="1" applyBorder="1" applyAlignment="1">
      <alignment vertical="center"/>
    </xf>
    <xf numFmtId="0" fontId="8" fillId="0" borderId="0" xfId="0" applyFont="1" applyBorder="1"/>
    <xf numFmtId="0" fontId="20" fillId="0" borderId="0" xfId="0" applyFont="1" applyBorder="1"/>
    <xf numFmtId="0" fontId="6" fillId="0" borderId="34" xfId="0" applyFont="1" applyFill="1" applyBorder="1" applyAlignment="1">
      <alignment vertical="center" wrapText="1"/>
    </xf>
    <xf numFmtId="0" fontId="6" fillId="0" borderId="0" xfId="0" applyFont="1" applyFill="1" applyBorder="1" applyAlignment="1">
      <alignment vertical="center" wrapText="1"/>
    </xf>
    <xf numFmtId="0" fontId="6" fillId="0" borderId="45" xfId="0" applyFont="1" applyFill="1" applyBorder="1" applyAlignment="1">
      <alignment vertical="center" wrapText="1"/>
    </xf>
    <xf numFmtId="0" fontId="0" fillId="0" borderId="0" xfId="0" applyAlignment="1">
      <alignment horizontal="center"/>
    </xf>
    <xf numFmtId="0" fontId="51" fillId="0" borderId="0" xfId="0" applyFont="1"/>
    <xf numFmtId="0" fontId="0" fillId="13" borderId="16" xfId="0" applyFill="1" applyBorder="1" applyAlignment="1">
      <alignment horizontal="center"/>
    </xf>
    <xf numFmtId="0" fontId="0" fillId="13" borderId="17" xfId="0" applyFill="1" applyBorder="1" applyAlignment="1">
      <alignment horizontal="center"/>
    </xf>
    <xf numFmtId="0" fontId="0" fillId="13" borderId="24" xfId="0" applyFill="1" applyBorder="1" applyAlignment="1">
      <alignment horizontal="center"/>
    </xf>
    <xf numFmtId="0" fontId="3" fillId="13" borderId="35" xfId="0" applyFont="1" applyFill="1" applyBorder="1" applyAlignment="1">
      <alignment horizontal="center" vertical="center" wrapText="1"/>
    </xf>
    <xf numFmtId="0" fontId="3" fillId="13" borderId="61" xfId="0" applyFont="1" applyFill="1" applyBorder="1" applyAlignment="1">
      <alignment horizontal="center" vertical="center" wrapText="1"/>
    </xf>
    <xf numFmtId="0" fontId="0" fillId="13" borderId="20" xfId="0" applyFill="1" applyBorder="1" applyAlignment="1">
      <alignment horizontal="center" vertical="center" wrapText="1"/>
    </xf>
    <xf numFmtId="0" fontId="0" fillId="13" borderId="21" xfId="0" applyFill="1" applyBorder="1" applyAlignment="1">
      <alignment horizontal="center" vertical="center" wrapText="1"/>
    </xf>
    <xf numFmtId="0" fontId="0" fillId="13" borderId="28" xfId="0" applyFill="1" applyBorder="1" applyAlignment="1">
      <alignment horizontal="center" vertical="center" wrapText="1"/>
    </xf>
    <xf numFmtId="0" fontId="3" fillId="13" borderId="36" xfId="0" applyFont="1" applyFill="1" applyBorder="1" applyAlignment="1">
      <alignment horizontal="left"/>
    </xf>
    <xf numFmtId="0" fontId="0" fillId="13" borderId="61" xfId="0" applyFill="1" applyBorder="1" applyAlignment="1">
      <alignment horizontal="center"/>
    </xf>
    <xf numFmtId="0" fontId="0" fillId="0" borderId="0" xfId="0" applyAlignment="1">
      <alignment horizontal="right"/>
    </xf>
    <xf numFmtId="0" fontId="49" fillId="14" borderId="61" xfId="0" applyFont="1" applyFill="1" applyBorder="1" applyAlignment="1">
      <alignment horizontal="center"/>
    </xf>
    <xf numFmtId="0" fontId="0" fillId="0" borderId="24" xfId="0" applyBorder="1" applyAlignment="1">
      <alignment horizontal="center"/>
    </xf>
    <xf numFmtId="0" fontId="0" fillId="15" borderId="16" xfId="0" applyFill="1" applyBorder="1" applyAlignment="1">
      <alignment horizontal="center"/>
    </xf>
    <xf numFmtId="0" fontId="0" fillId="15" borderId="17" xfId="0" applyFill="1" applyBorder="1" applyAlignment="1">
      <alignment horizontal="center"/>
    </xf>
    <xf numFmtId="0" fontId="0" fillId="15" borderId="24" xfId="0" applyFill="1" applyBorder="1" applyAlignment="1">
      <alignment horizontal="center"/>
    </xf>
    <xf numFmtId="0" fontId="0" fillId="0" borderId="29" xfId="0" applyBorder="1" applyAlignment="1">
      <alignment horizontal="center"/>
    </xf>
    <xf numFmtId="0" fontId="0" fillId="0" borderId="17" xfId="0" applyBorder="1" applyAlignment="1">
      <alignment horizontal="center"/>
    </xf>
    <xf numFmtId="0" fontId="0" fillId="0" borderId="27" xfId="0" applyBorder="1" applyAlignment="1">
      <alignment horizontal="center"/>
    </xf>
    <xf numFmtId="0" fontId="0" fillId="15" borderId="18" xfId="0" applyFill="1" applyBorder="1" applyAlignment="1">
      <alignment horizontal="center"/>
    </xf>
    <xf numFmtId="0" fontId="0" fillId="15" borderId="19" xfId="0" applyFill="1" applyBorder="1" applyAlignment="1">
      <alignment horizontal="center"/>
    </xf>
    <xf numFmtId="0" fontId="0" fillId="15" borderId="27" xfId="0" applyFill="1" applyBorder="1" applyAlignment="1">
      <alignment horizontal="center"/>
    </xf>
    <xf numFmtId="0" fontId="0" fillId="0" borderId="30" xfId="0" applyBorder="1" applyAlignment="1">
      <alignment horizontal="center"/>
    </xf>
    <xf numFmtId="0" fontId="0" fillId="0" borderId="19" xfId="0" applyBorder="1" applyAlignment="1">
      <alignment vertical="center"/>
    </xf>
    <xf numFmtId="0" fontId="0" fillId="0" borderId="27" xfId="0" applyBorder="1" applyAlignment="1">
      <alignment horizontal="center" vertical="center"/>
    </xf>
    <xf numFmtId="0" fontId="0" fillId="0" borderId="19" xfId="0" applyFont="1" applyBorder="1"/>
    <xf numFmtId="0" fontId="0" fillId="0" borderId="27" xfId="0" applyFont="1" applyBorder="1" applyAlignment="1">
      <alignment horizontal="center"/>
    </xf>
    <xf numFmtId="0" fontId="0" fillId="0" borderId="19" xfId="0" applyFill="1" applyBorder="1"/>
    <xf numFmtId="0" fontId="0" fillId="0" borderId="27" xfId="0" applyFill="1" applyBorder="1" applyAlignment="1">
      <alignment horizontal="center"/>
    </xf>
    <xf numFmtId="9" fontId="3" fillId="10" borderId="61" xfId="2" applyFont="1" applyFill="1" applyBorder="1" applyProtection="1"/>
    <xf numFmtId="0" fontId="0" fillId="0" borderId="0" xfId="0" applyAlignment="1">
      <alignment horizontal="center"/>
    </xf>
    <xf numFmtId="0" fontId="53" fillId="0" borderId="0" xfId="0" applyFont="1"/>
    <xf numFmtId="3" fontId="3" fillId="0" borderId="0" xfId="0" applyNumberFormat="1" applyFont="1"/>
    <xf numFmtId="44" fontId="3" fillId="0" borderId="0" xfId="1" applyFont="1"/>
    <xf numFmtId="3" fontId="3" fillId="0" borderId="7" xfId="0" applyNumberFormat="1" applyFont="1" applyBorder="1"/>
    <xf numFmtId="44" fontId="3" fillId="0" borderId="7" xfId="1" applyFont="1" applyBorder="1"/>
    <xf numFmtId="44" fontId="3" fillId="0" borderId="61" xfId="1" applyFont="1" applyBorder="1"/>
    <xf numFmtId="0" fontId="3" fillId="5" borderId="13" xfId="0" applyFont="1" applyFill="1" applyBorder="1"/>
    <xf numFmtId="0" fontId="3" fillId="5" borderId="14" xfId="0" applyFont="1" applyFill="1" applyBorder="1"/>
    <xf numFmtId="3" fontId="3" fillId="5" borderId="14" xfId="0" applyNumberFormat="1" applyFont="1" applyFill="1" applyBorder="1"/>
    <xf numFmtId="44" fontId="3" fillId="5" borderId="15" xfId="1" applyFont="1" applyFill="1" applyBorder="1"/>
    <xf numFmtId="0" fontId="54" fillId="0" borderId="0" xfId="0" applyFont="1"/>
    <xf numFmtId="0" fontId="3" fillId="0" borderId="0" xfId="0" applyFont="1" applyAlignment="1">
      <alignment horizontal="center"/>
    </xf>
    <xf numFmtId="4" fontId="0" fillId="0" borderId="0" xfId="0" applyNumberFormat="1"/>
    <xf numFmtId="3" fontId="0" fillId="0" borderId="0" xfId="0" applyNumberFormat="1"/>
    <xf numFmtId="0" fontId="0" fillId="0" borderId="0" xfId="0" applyFont="1" applyAlignment="1">
      <alignment horizontal="center"/>
    </xf>
    <xf numFmtId="44" fontId="0" fillId="0" borderId="0" xfId="1" applyFont="1"/>
    <xf numFmtId="8" fontId="0" fillId="0" borderId="0" xfId="0" applyNumberFormat="1"/>
    <xf numFmtId="3" fontId="0" fillId="0" borderId="0" xfId="0" applyNumberFormat="1" applyFont="1"/>
    <xf numFmtId="0" fontId="0" fillId="0" borderId="0" xfId="0" applyAlignment="1">
      <alignment horizontal="center"/>
    </xf>
    <xf numFmtId="0" fontId="55" fillId="0" borderId="0" xfId="0" applyFont="1"/>
    <xf numFmtId="2" fontId="0" fillId="0" borderId="0" xfId="0" applyNumberFormat="1"/>
    <xf numFmtId="171" fontId="0" fillId="0" borderId="0" xfId="3" applyNumberFormat="1" applyFont="1"/>
    <xf numFmtId="172" fontId="0" fillId="0" borderId="0" xfId="3" applyNumberFormat="1" applyFont="1"/>
    <xf numFmtId="43" fontId="0" fillId="0" borderId="0" xfId="3" applyNumberFormat="1" applyFont="1"/>
    <xf numFmtId="172" fontId="0" fillId="0" borderId="0" xfId="0" applyNumberFormat="1"/>
    <xf numFmtId="43" fontId="0" fillId="0" borderId="0" xfId="0" applyNumberFormat="1"/>
    <xf numFmtId="0" fontId="0" fillId="0" borderId="20" xfId="0" applyBorder="1" applyAlignment="1">
      <alignment horizontal="left"/>
    </xf>
    <xf numFmtId="0" fontId="0" fillId="0" borderId="21" xfId="0" applyBorder="1" applyAlignment="1">
      <alignment horizontal="left"/>
    </xf>
    <xf numFmtId="0" fontId="0" fillId="0" borderId="18" xfId="0" applyFont="1" applyBorder="1" applyAlignment="1">
      <alignment horizontal="left"/>
    </xf>
    <xf numFmtId="0" fontId="0" fillId="0" borderId="19" xfId="0" applyFont="1" applyBorder="1" applyAlignment="1">
      <alignment horizontal="left"/>
    </xf>
    <xf numFmtId="0" fontId="0" fillId="0" borderId="18" xfId="0" applyBorder="1" applyAlignment="1">
      <alignment horizontal="left"/>
    </xf>
    <xf numFmtId="0" fontId="0" fillId="0" borderId="19" xfId="0" applyBorder="1" applyAlignment="1">
      <alignment horizontal="left"/>
    </xf>
    <xf numFmtId="0" fontId="6" fillId="0" borderId="16" xfId="0" applyFont="1" applyBorder="1" applyAlignment="1">
      <alignment horizontal="center"/>
    </xf>
    <xf numFmtId="0" fontId="6" fillId="0" borderId="17" xfId="0" applyFont="1" applyBorder="1" applyAlignment="1">
      <alignment horizontal="center"/>
    </xf>
    <xf numFmtId="0" fontId="6" fillId="0" borderId="24" xfId="0" applyFont="1" applyBorder="1" applyAlignment="1">
      <alignment horizontal="center"/>
    </xf>
    <xf numFmtId="0" fontId="0" fillId="5" borderId="66" xfId="0" applyFont="1" applyFill="1" applyBorder="1" applyAlignment="1">
      <alignment vertical="center"/>
    </xf>
    <xf numFmtId="0" fontId="0" fillId="5" borderId="83" xfId="0" applyFill="1" applyBorder="1"/>
    <xf numFmtId="0" fontId="0" fillId="5" borderId="68" xfId="0" applyFill="1" applyBorder="1"/>
    <xf numFmtId="0" fontId="4" fillId="0" borderId="0" xfId="0" applyFont="1" applyAlignment="1" applyProtection="1">
      <alignment vertical="center"/>
      <protection hidden="1"/>
    </xf>
    <xf numFmtId="0" fontId="10" fillId="0" borderId="16" xfId="0" applyFont="1" applyBorder="1" applyAlignment="1">
      <alignment vertical="center"/>
    </xf>
    <xf numFmtId="0" fontId="7" fillId="0" borderId="37" xfId="0" applyFont="1" applyBorder="1" applyAlignment="1">
      <alignment horizontal="center" vertical="center"/>
    </xf>
    <xf numFmtId="0" fontId="0" fillId="0" borderId="50" xfId="0" applyBorder="1"/>
    <xf numFmtId="164" fontId="6" fillId="0" borderId="73" xfId="0" applyNumberFormat="1" applyFont="1" applyBorder="1" applyAlignment="1">
      <alignment horizontal="right" vertical="center"/>
    </xf>
    <xf numFmtId="164" fontId="46" fillId="0" borderId="58" xfId="0" applyNumberFormat="1" applyFont="1" applyBorder="1"/>
    <xf numFmtId="0" fontId="6" fillId="0" borderId="0" xfId="0" applyFont="1" applyAlignment="1">
      <alignment vertical="center"/>
    </xf>
    <xf numFmtId="0" fontId="10" fillId="0" borderId="18" xfId="0" applyFont="1" applyBorder="1" applyAlignment="1">
      <alignment horizontal="right" vertical="center"/>
    </xf>
    <xf numFmtId="2" fontId="10" fillId="0" borderId="27" xfId="0" applyNumberFormat="1" applyFont="1" applyBorder="1" applyAlignment="1">
      <alignment horizontal="center" vertical="center"/>
    </xf>
    <xf numFmtId="0" fontId="0" fillId="0" borderId="51" xfId="0" applyBorder="1"/>
    <xf numFmtId="164" fontId="6" fillId="0" borderId="25" xfId="0" applyNumberFormat="1" applyFont="1" applyBorder="1" applyAlignment="1">
      <alignment horizontal="right" vertical="center"/>
    </xf>
    <xf numFmtId="0" fontId="10" fillId="0" borderId="20" xfId="0" applyFont="1" applyBorder="1" applyAlignment="1">
      <alignment horizontal="right" vertical="center"/>
    </xf>
    <xf numFmtId="167" fontId="0" fillId="0" borderId="28" xfId="0" applyNumberFormat="1" applyBorder="1" applyAlignment="1">
      <alignment horizontal="center" vertical="center"/>
    </xf>
    <xf numFmtId="0" fontId="0" fillId="0" borderId="79" xfId="0" applyBorder="1"/>
    <xf numFmtId="0" fontId="6" fillId="0" borderId="26" xfId="0" applyFont="1" applyBorder="1" applyAlignment="1">
      <alignment horizontal="right"/>
    </xf>
    <xf numFmtId="0" fontId="0" fillId="0" borderId="53" xfId="0" applyBorder="1" applyAlignment="1">
      <alignment horizontal="center" vertical="center"/>
    </xf>
    <xf numFmtId="0" fontId="0" fillId="0" borderId="18" xfId="0" applyBorder="1" applyAlignment="1">
      <alignment horizontal="center" vertical="center"/>
    </xf>
    <xf numFmtId="2" fontId="0" fillId="0" borderId="61" xfId="0" applyNumberFormat="1" applyBorder="1"/>
    <xf numFmtId="0" fontId="0" fillId="0" borderId="20" xfId="0" applyBorder="1" applyAlignment="1">
      <alignment horizontal="center" vertical="center"/>
    </xf>
    <xf numFmtId="0" fontId="0" fillId="0" borderId="19" xfId="0" applyBorder="1" applyAlignment="1">
      <alignment horizontal="center" vertical="center"/>
    </xf>
    <xf numFmtId="0" fontId="0" fillId="0" borderId="27" xfId="0" applyBorder="1" applyAlignment="1">
      <alignment horizontal="center" vertical="center" wrapText="1"/>
    </xf>
    <xf numFmtId="0" fontId="3" fillId="0" borderId="76" xfId="0" applyFont="1" applyBorder="1" applyAlignment="1">
      <alignment horizontal="center" vertical="center"/>
    </xf>
    <xf numFmtId="0" fontId="3" fillId="0" borderId="0" xfId="0" applyFont="1" applyAlignment="1">
      <alignment horizontal="center" vertical="center"/>
    </xf>
    <xf numFmtId="0" fontId="0" fillId="0" borderId="6" xfId="0" applyBorder="1" applyAlignment="1">
      <alignment vertical="center" wrapText="1"/>
    </xf>
    <xf numFmtId="0" fontId="0" fillId="0" borderId="8" xfId="0" applyBorder="1" applyAlignment="1">
      <alignment vertical="center" wrapText="1"/>
    </xf>
    <xf numFmtId="0" fontId="11" fillId="9" borderId="10" xfId="0" applyFont="1" applyFill="1" applyBorder="1" applyAlignment="1">
      <alignment vertical="center" wrapText="1"/>
    </xf>
    <xf numFmtId="44" fontId="6" fillId="0" borderId="10" xfId="1" applyFont="1" applyFill="1" applyBorder="1" applyAlignment="1" applyProtection="1">
      <alignment horizontal="center" vertical="center"/>
    </xf>
    <xf numFmtId="44" fontId="10" fillId="5" borderId="10" xfId="1" applyFont="1" applyFill="1" applyBorder="1" applyAlignment="1" applyProtection="1">
      <alignment horizontal="center" vertical="center" wrapText="1"/>
    </xf>
    <xf numFmtId="0" fontId="4" fillId="0" borderId="0" xfId="0" applyFont="1" applyAlignment="1" applyProtection="1">
      <alignment vertical="center" wrapText="1"/>
      <protection hidden="1"/>
    </xf>
    <xf numFmtId="0" fontId="4" fillId="0" borderId="0" xfId="0" applyFont="1" applyAlignment="1" applyProtection="1">
      <alignment horizontal="left" vertical="center"/>
      <protection hidden="1"/>
    </xf>
    <xf numFmtId="0" fontId="0" fillId="2" borderId="10" xfId="0" applyFill="1" applyBorder="1" applyAlignment="1" applyProtection="1">
      <alignment vertical="center" wrapText="1"/>
      <protection locked="0"/>
    </xf>
    <xf numFmtId="44" fontId="0" fillId="5" borderId="10" xfId="1" applyFont="1" applyFill="1" applyBorder="1" applyAlignment="1" applyProtection="1">
      <alignment horizontal="center" vertical="center" wrapText="1"/>
    </xf>
    <xf numFmtId="44" fontId="7" fillId="0" borderId="0" xfId="1" applyFont="1" applyAlignment="1" applyProtection="1">
      <alignment horizontal="right" vertical="center"/>
    </xf>
    <xf numFmtId="0" fontId="0" fillId="12" borderId="42" xfId="0" applyFill="1" applyBorder="1" applyAlignment="1">
      <alignment horizontal="center" vertical="center" wrapText="1"/>
    </xf>
    <xf numFmtId="0" fontId="0" fillId="0" borderId="1" xfId="0" applyBorder="1" applyAlignment="1" applyProtection="1">
      <alignment horizontal="center" vertical="center"/>
      <protection hidden="1"/>
    </xf>
    <xf numFmtId="0" fontId="0" fillId="0" borderId="2" xfId="0" applyBorder="1" applyAlignment="1" applyProtection="1">
      <alignment horizontal="center" vertical="center" wrapText="1"/>
      <protection hidden="1"/>
    </xf>
    <xf numFmtId="0" fontId="0" fillId="0" borderId="2" xfId="0" applyBorder="1" applyAlignment="1" applyProtection="1">
      <alignment horizontal="center" vertical="center"/>
      <protection hidden="1"/>
    </xf>
    <xf numFmtId="0" fontId="0" fillId="0" borderId="3" xfId="0" applyBorder="1" applyAlignment="1" applyProtection="1">
      <alignment horizontal="center" vertical="center" wrapText="1"/>
      <protection hidden="1"/>
    </xf>
    <xf numFmtId="0" fontId="0" fillId="0" borderId="4" xfId="0" applyBorder="1" applyProtection="1">
      <protection hidden="1"/>
    </xf>
    <xf numFmtId="44" fontId="0" fillId="0" borderId="5" xfId="0" applyNumberFormat="1" applyBorder="1" applyProtection="1">
      <protection hidden="1"/>
    </xf>
    <xf numFmtId="9" fontId="23" fillId="12" borderId="19" xfId="1" applyNumberFormat="1" applyFont="1" applyFill="1" applyBorder="1" applyAlignment="1">
      <alignment vertical="center"/>
    </xf>
    <xf numFmtId="4" fontId="3" fillId="2" borderId="10" xfId="0" applyNumberFormat="1" applyFont="1" applyFill="1" applyBorder="1" applyAlignment="1" applyProtection="1">
      <alignment horizontal="center" vertical="center"/>
      <protection locked="0"/>
    </xf>
    <xf numFmtId="0" fontId="15" fillId="2" borderId="10" xfId="0" applyFont="1" applyFill="1" applyBorder="1" applyAlignment="1" applyProtection="1">
      <alignment horizontal="center" vertical="center" wrapText="1"/>
      <protection locked="0"/>
    </xf>
    <xf numFmtId="0" fontId="0" fillId="0" borderId="0" xfId="0" applyAlignment="1">
      <alignment horizontal="center"/>
    </xf>
    <xf numFmtId="0" fontId="0" fillId="0" borderId="4" xfId="0" applyBorder="1" applyAlignment="1">
      <alignment wrapText="1"/>
    </xf>
    <xf numFmtId="0" fontId="0" fillId="0" borderId="4" xfId="0" applyBorder="1" applyAlignment="1" applyProtection="1">
      <alignment wrapText="1"/>
      <protection locked="0"/>
    </xf>
    <xf numFmtId="0" fontId="28" fillId="0" borderId="10" xfId="0" applyFont="1" applyBorder="1" applyAlignment="1">
      <alignment vertical="center" wrapText="1"/>
    </xf>
    <xf numFmtId="0" fontId="0" fillId="0" borderId="10" xfId="0" applyBorder="1" applyAlignment="1">
      <alignment horizontal="center" vertical="center" wrapText="1"/>
    </xf>
    <xf numFmtId="0" fontId="0" fillId="5" borderId="14" xfId="0" applyFill="1" applyBorder="1" applyAlignment="1">
      <alignment horizontal="center" vertical="center" wrapText="1"/>
    </xf>
    <xf numFmtId="0" fontId="6" fillId="0" borderId="19" xfId="0" applyFont="1" applyBorder="1" applyAlignment="1">
      <alignment horizontal="left" vertical="center" wrapText="1"/>
    </xf>
    <xf numFmtId="0" fontId="0" fillId="2" borderId="10" xfId="0" applyFill="1" applyBorder="1" applyAlignment="1" applyProtection="1">
      <alignment horizontal="center" vertical="center" wrapText="1"/>
      <protection locked="0"/>
    </xf>
    <xf numFmtId="0" fontId="57" fillId="8" borderId="9" xfId="0" applyFont="1" applyFill="1" applyBorder="1" applyAlignment="1">
      <alignment horizontal="center" vertical="center" wrapText="1"/>
    </xf>
    <xf numFmtId="0" fontId="49" fillId="0" borderId="0" xfId="0" applyFont="1"/>
    <xf numFmtId="0" fontId="6" fillId="0" borderId="10" xfId="0" applyFont="1" applyBorder="1" applyAlignment="1" applyProtection="1">
      <alignment horizontal="center" vertical="center" wrapText="1"/>
      <protection locked="0"/>
    </xf>
    <xf numFmtId="0" fontId="31" fillId="0" borderId="0" xfId="0" applyFont="1" applyAlignment="1">
      <alignment vertical="top"/>
    </xf>
    <xf numFmtId="0" fontId="31" fillId="0" borderId="0" xfId="0" applyFont="1" applyProtection="1">
      <protection hidden="1"/>
    </xf>
    <xf numFmtId="0" fontId="54" fillId="0" borderId="22" xfId="0" applyFont="1" applyBorder="1"/>
    <xf numFmtId="0" fontId="0" fillId="0" borderId="43" xfId="0" applyBorder="1"/>
    <xf numFmtId="0" fontId="60" fillId="0" borderId="43" xfId="0" applyFont="1" applyBorder="1"/>
    <xf numFmtId="0" fontId="0" fillId="0" borderId="44" xfId="0" applyBorder="1"/>
    <xf numFmtId="173" fontId="0" fillId="0" borderId="4" xfId="0" applyNumberFormat="1" applyBorder="1"/>
    <xf numFmtId="173" fontId="0" fillId="0" borderId="0" xfId="0" applyNumberFormat="1"/>
    <xf numFmtId="174" fontId="0" fillId="0" borderId="0" xfId="0" applyNumberFormat="1"/>
    <xf numFmtId="174" fontId="0" fillId="0" borderId="5" xfId="0" applyNumberFormat="1" applyBorder="1"/>
    <xf numFmtId="0" fontId="0" fillId="0" borderId="5" xfId="0" applyBorder="1" applyAlignment="1">
      <alignment horizontal="center"/>
    </xf>
    <xf numFmtId="0" fontId="0" fillId="0" borderId="34" xfId="0" applyBorder="1" applyAlignment="1">
      <alignment horizontal="center"/>
    </xf>
    <xf numFmtId="0" fontId="61" fillId="0" borderId="0" xfId="0" applyFont="1" applyAlignment="1">
      <alignment horizontal="center"/>
    </xf>
    <xf numFmtId="0" fontId="61" fillId="0" borderId="45" xfId="0" applyFont="1" applyBorder="1" applyAlignment="1">
      <alignment horizontal="center"/>
    </xf>
    <xf numFmtId="0" fontId="0" fillId="16" borderId="5" xfId="0" applyFill="1" applyBorder="1" applyAlignment="1">
      <alignment horizontal="center"/>
    </xf>
    <xf numFmtId="0" fontId="0" fillId="0" borderId="34" xfId="0" applyBorder="1"/>
    <xf numFmtId="173" fontId="0" fillId="0" borderId="45" xfId="0" applyNumberFormat="1" applyBorder="1"/>
    <xf numFmtId="1" fontId="0" fillId="0" borderId="0" xfId="0" applyNumberFormat="1"/>
    <xf numFmtId="173" fontId="0" fillId="0" borderId="111" xfId="0" applyNumberFormat="1" applyBorder="1"/>
    <xf numFmtId="0" fontId="0" fillId="0" borderId="46" xfId="0" applyBorder="1"/>
    <xf numFmtId="0" fontId="0" fillId="0" borderId="47" xfId="0" applyBorder="1"/>
    <xf numFmtId="173" fontId="0" fillId="0" borderId="48" xfId="0" applyNumberFormat="1" applyBorder="1"/>
    <xf numFmtId="173" fontId="0" fillId="0" borderId="6" xfId="0" applyNumberFormat="1" applyBorder="1"/>
    <xf numFmtId="173" fontId="0" fillId="0" borderId="7" xfId="0" applyNumberFormat="1" applyBorder="1"/>
    <xf numFmtId="174" fontId="0" fillId="0" borderId="7" xfId="0" applyNumberFormat="1" applyBorder="1"/>
    <xf numFmtId="174" fontId="0" fillId="0" borderId="8" xfId="0" applyNumberFormat="1" applyBorder="1"/>
    <xf numFmtId="0" fontId="6" fillId="0" borderId="0" xfId="0" applyFont="1" applyAlignment="1">
      <alignment horizontal="left" vertical="center" wrapText="1"/>
    </xf>
    <xf numFmtId="44" fontId="6" fillId="0" borderId="10" xfId="1" applyFont="1" applyFill="1" applyBorder="1" applyAlignment="1">
      <alignment horizontal="center" vertical="center"/>
    </xf>
    <xf numFmtId="0" fontId="0" fillId="0" borderId="55" xfId="0" applyBorder="1" applyAlignment="1">
      <alignment horizontal="center" vertical="center" wrapText="1"/>
    </xf>
    <xf numFmtId="0" fontId="0" fillId="0" borderId="57" xfId="0" applyBorder="1" applyAlignment="1">
      <alignment horizontal="center" vertical="center" wrapText="1"/>
    </xf>
    <xf numFmtId="0" fontId="0" fillId="0" borderId="112" xfId="0" applyBorder="1"/>
    <xf numFmtId="0" fontId="0" fillId="0" borderId="113" xfId="0" applyBorder="1"/>
    <xf numFmtId="0" fontId="0" fillId="16" borderId="8" xfId="0" applyFill="1" applyBorder="1" applyAlignment="1">
      <alignment horizontal="center"/>
    </xf>
    <xf numFmtId="0" fontId="0" fillId="0" borderId="86" xfId="0" applyBorder="1" applyAlignment="1">
      <alignment horizontal="left" vertical="center" wrapText="1"/>
    </xf>
    <xf numFmtId="0" fontId="14" fillId="2" borderId="10" xfId="0" applyFont="1" applyFill="1" applyBorder="1" applyAlignment="1" applyProtection="1">
      <alignment horizontal="center" vertical="center" wrapText="1"/>
      <protection locked="0"/>
    </xf>
    <xf numFmtId="44" fontId="28" fillId="0" borderId="10" xfId="1" applyFont="1" applyFill="1" applyBorder="1" applyAlignment="1" applyProtection="1">
      <alignment horizontal="center" vertical="center"/>
    </xf>
    <xf numFmtId="0" fontId="6" fillId="0" borderId="61" xfId="0" applyFont="1" applyBorder="1" applyAlignment="1">
      <alignment horizontal="center" vertical="center"/>
    </xf>
    <xf numFmtId="0" fontId="0" fillId="0" borderId="61" xfId="0" applyBorder="1" applyProtection="1">
      <protection hidden="1"/>
    </xf>
    <xf numFmtId="44" fontId="0" fillId="0" borderId="61" xfId="0" applyNumberFormat="1" applyBorder="1" applyProtection="1">
      <protection hidden="1"/>
    </xf>
    <xf numFmtId="0" fontId="0" fillId="0" borderId="20" xfId="0" applyBorder="1" applyAlignment="1">
      <alignment vertical="center"/>
    </xf>
    <xf numFmtId="0" fontId="0" fillId="5" borderId="14" xfId="0" applyFill="1" applyBorder="1" applyAlignment="1" applyProtection="1">
      <alignment horizontal="center" vertical="center"/>
      <protection locked="0"/>
    </xf>
    <xf numFmtId="3" fontId="0" fillId="5" borderId="14" xfId="0" applyNumberFormat="1" applyFill="1" applyBorder="1" applyAlignment="1" applyProtection="1">
      <alignment horizontal="center" vertical="center"/>
      <protection locked="0"/>
    </xf>
    <xf numFmtId="0" fontId="62" fillId="2" borderId="13" xfId="0" applyFont="1" applyFill="1" applyBorder="1" applyProtection="1"/>
    <xf numFmtId="0" fontId="0" fillId="2" borderId="14" xfId="0" applyFill="1" applyBorder="1" applyProtection="1"/>
    <xf numFmtId="0" fontId="0" fillId="2" borderId="15" xfId="0" applyFill="1" applyBorder="1" applyProtection="1"/>
    <xf numFmtId="0" fontId="0" fillId="0" borderId="55" xfId="0" applyBorder="1" applyAlignment="1" applyProtection="1">
      <alignment horizontal="center" vertical="center" wrapText="1"/>
    </xf>
    <xf numFmtId="0" fontId="0" fillId="0" borderId="57" xfId="0" applyBorder="1" applyAlignment="1" applyProtection="1">
      <alignment horizontal="center" vertical="center" wrapText="1"/>
    </xf>
    <xf numFmtId="0" fontId="0" fillId="0" borderId="53" xfId="0" applyBorder="1" applyProtection="1">
      <protection locked="0"/>
    </xf>
    <xf numFmtId="0" fontId="0" fillId="0" borderId="54" xfId="0" applyBorder="1" applyProtection="1">
      <protection locked="0"/>
    </xf>
    <xf numFmtId="0" fontId="0" fillId="0" borderId="18" xfId="0" applyBorder="1" applyProtection="1">
      <protection locked="0"/>
    </xf>
    <xf numFmtId="0" fontId="0" fillId="0" borderId="27" xfId="0" applyBorder="1" applyProtection="1">
      <protection locked="0"/>
    </xf>
    <xf numFmtId="0" fontId="0" fillId="0" borderId="20" xfId="0" applyBorder="1" applyProtection="1">
      <protection locked="0"/>
    </xf>
    <xf numFmtId="0" fontId="0" fillId="0" borderId="28" xfId="0" applyBorder="1" applyProtection="1">
      <protection locked="0"/>
    </xf>
    <xf numFmtId="0" fontId="62" fillId="3" borderId="13" xfId="0" applyFont="1" applyFill="1" applyBorder="1" applyProtection="1"/>
    <xf numFmtId="0" fontId="0" fillId="3" borderId="14" xfId="0" applyFill="1" applyBorder="1" applyProtection="1"/>
    <xf numFmtId="0" fontId="0" fillId="3" borderId="15" xfId="0" applyFill="1" applyBorder="1" applyProtection="1"/>
    <xf numFmtId="0" fontId="0" fillId="0" borderId="0" xfId="0" applyAlignment="1" applyProtection="1">
      <alignment vertical="center"/>
      <protection locked="0"/>
    </xf>
    <xf numFmtId="0" fontId="0" fillId="0" borderId="19" xfId="0" applyBorder="1" applyAlignment="1">
      <alignment horizontal="left" vertical="center" wrapText="1"/>
    </xf>
    <xf numFmtId="0" fontId="0" fillId="10" borderId="61" xfId="0" applyFill="1" applyBorder="1" applyProtection="1">
      <protection locked="0"/>
    </xf>
    <xf numFmtId="0" fontId="0" fillId="0" borderId="0" xfId="0" applyBorder="1" applyAlignment="1" applyProtection="1">
      <alignment horizontal="right"/>
    </xf>
    <xf numFmtId="0" fontId="63" fillId="0" borderId="0" xfId="0" applyFont="1" applyBorder="1" applyAlignment="1" applyProtection="1">
      <alignment horizontal="center"/>
    </xf>
    <xf numFmtId="0" fontId="0" fillId="0" borderId="0" xfId="0" applyBorder="1" applyAlignment="1" applyProtection="1">
      <alignment vertical="center"/>
    </xf>
    <xf numFmtId="0" fontId="0" fillId="0" borderId="0" xfId="0" applyBorder="1" applyProtection="1">
      <protection locked="0"/>
    </xf>
    <xf numFmtId="0" fontId="22" fillId="17" borderId="0" xfId="0" applyFont="1" applyFill="1" applyBorder="1" applyProtection="1"/>
    <xf numFmtId="0" fontId="0" fillId="17" borderId="0" xfId="0" applyFill="1" applyBorder="1" applyProtection="1"/>
    <xf numFmtId="0" fontId="64" fillId="18" borderId="0" xfId="0" applyFont="1" applyFill="1" applyBorder="1"/>
    <xf numFmtId="0" fontId="0" fillId="18" borderId="0" xfId="0" applyFill="1" applyBorder="1"/>
    <xf numFmtId="0" fontId="0" fillId="0" borderId="0" xfId="0" applyBorder="1" applyAlignment="1">
      <alignment horizontal="right"/>
    </xf>
    <xf numFmtId="0" fontId="63" fillId="0" borderId="0" xfId="0" applyFont="1" applyBorder="1" applyAlignment="1">
      <alignment horizontal="center"/>
    </xf>
    <xf numFmtId="0" fontId="65" fillId="0" borderId="0" xfId="0" applyFont="1" applyBorder="1"/>
    <xf numFmtId="0" fontId="0" fillId="15" borderId="22" xfId="0" applyFill="1" applyBorder="1" applyProtection="1"/>
    <xf numFmtId="0" fontId="0" fillId="15" borderId="43" xfId="0" applyFill="1" applyBorder="1" applyProtection="1"/>
    <xf numFmtId="0" fontId="0" fillId="15" borderId="44" xfId="0" applyFill="1" applyBorder="1" applyProtection="1">
      <protection locked="0"/>
    </xf>
    <xf numFmtId="0" fontId="0" fillId="15" borderId="46" xfId="0" applyFill="1" applyBorder="1" applyProtection="1"/>
    <xf numFmtId="0" fontId="0" fillId="15" borderId="47" xfId="0" applyFill="1" applyBorder="1" applyProtection="1"/>
    <xf numFmtId="0" fontId="0" fillId="15" borderId="48" xfId="0" applyFill="1" applyBorder="1" applyProtection="1">
      <protection locked="0"/>
    </xf>
    <xf numFmtId="0" fontId="0" fillId="15" borderId="34" xfId="0" applyFill="1" applyBorder="1" applyProtection="1"/>
    <xf numFmtId="0" fontId="0" fillId="15" borderId="34" xfId="0" applyFill="1" applyBorder="1" applyProtection="1">
      <protection locked="0"/>
    </xf>
    <xf numFmtId="0" fontId="0" fillId="15" borderId="34" xfId="0" applyFill="1" applyBorder="1"/>
    <xf numFmtId="0" fontId="0" fillId="15" borderId="45" xfId="0" applyFill="1" applyBorder="1" applyProtection="1">
      <protection locked="0"/>
    </xf>
    <xf numFmtId="0" fontId="0" fillId="4" borderId="22" xfId="0" applyFill="1" applyBorder="1" applyProtection="1"/>
    <xf numFmtId="0" fontId="0" fillId="4" borderId="43" xfId="0" applyFill="1" applyBorder="1" applyProtection="1"/>
    <xf numFmtId="0" fontId="0" fillId="4" borderId="44" xfId="0" applyFill="1" applyBorder="1" applyProtection="1">
      <protection locked="0"/>
    </xf>
    <xf numFmtId="0" fontId="0" fillId="4" borderId="46" xfId="0" applyFill="1" applyBorder="1"/>
    <xf numFmtId="0" fontId="0" fillId="4" borderId="47" xfId="0" applyFill="1" applyBorder="1"/>
    <xf numFmtId="0" fontId="0" fillId="4" borderId="48" xfId="0" applyFill="1" applyBorder="1" applyProtection="1">
      <protection locked="0"/>
    </xf>
    <xf numFmtId="0" fontId="0" fillId="4" borderId="34" xfId="0" applyFill="1" applyBorder="1" applyProtection="1"/>
    <xf numFmtId="0" fontId="0" fillId="4" borderId="34" xfId="0" applyFill="1" applyBorder="1" applyAlignment="1" applyProtection="1">
      <alignment vertical="center"/>
    </xf>
    <xf numFmtId="0" fontId="0" fillId="4" borderId="34" xfId="0" applyFill="1" applyBorder="1" applyProtection="1">
      <protection locked="0"/>
    </xf>
    <xf numFmtId="0" fontId="0" fillId="4" borderId="34" xfId="0" applyFill="1" applyBorder="1"/>
    <xf numFmtId="0" fontId="0" fillId="4" borderId="45" xfId="0" applyFill="1" applyBorder="1" applyProtection="1">
      <protection locked="0"/>
    </xf>
    <xf numFmtId="0" fontId="0" fillId="4" borderId="45" xfId="0" applyFill="1" applyBorder="1" applyAlignment="1" applyProtection="1">
      <alignment vertical="center"/>
      <protection locked="0"/>
    </xf>
    <xf numFmtId="0" fontId="0" fillId="15" borderId="22" xfId="0" applyFill="1" applyBorder="1"/>
    <xf numFmtId="0" fontId="0" fillId="15" borderId="43" xfId="0" applyFill="1" applyBorder="1"/>
    <xf numFmtId="0" fontId="0" fillId="15" borderId="44" xfId="0" applyFill="1" applyBorder="1"/>
    <xf numFmtId="0" fontId="0" fillId="15" borderId="0" xfId="0" applyFill="1"/>
    <xf numFmtId="0" fontId="66" fillId="15" borderId="0" xfId="0" applyFont="1" applyFill="1"/>
    <xf numFmtId="49" fontId="28" fillId="15" borderId="0" xfId="0" applyNumberFormat="1" applyFont="1" applyFill="1" applyAlignment="1">
      <alignment horizontal="center"/>
    </xf>
    <xf numFmtId="49" fontId="7" fillId="15" borderId="0" xfId="0" applyNumberFormat="1" applyFont="1" applyFill="1" applyAlignment="1">
      <alignment horizontal="center"/>
    </xf>
    <xf numFmtId="0" fontId="0" fillId="15" borderId="45" xfId="0" applyFill="1" applyBorder="1"/>
    <xf numFmtId="0" fontId="0" fillId="15" borderId="0" xfId="0" applyFill="1" applyAlignment="1">
      <alignment horizontal="center"/>
    </xf>
    <xf numFmtId="0" fontId="29" fillId="15" borderId="0" xfId="0" applyFont="1" applyFill="1"/>
    <xf numFmtId="0" fontId="67" fillId="15" borderId="0" xfId="0" applyFont="1" applyFill="1"/>
    <xf numFmtId="0" fontId="0" fillId="15" borderId="46" xfId="0" applyFill="1" applyBorder="1"/>
    <xf numFmtId="0" fontId="0" fillId="15" borderId="47" xfId="0" applyFill="1" applyBorder="1"/>
    <xf numFmtId="0" fontId="0" fillId="15" borderId="48" xfId="0" applyFill="1" applyBorder="1"/>
    <xf numFmtId="0" fontId="0" fillId="10" borderId="22" xfId="0" applyFill="1" applyBorder="1"/>
    <xf numFmtId="0" fontId="0" fillId="10" borderId="43" xfId="0" applyFill="1" applyBorder="1"/>
    <xf numFmtId="0" fontId="0" fillId="10" borderId="44" xfId="0" applyFill="1" applyBorder="1"/>
    <xf numFmtId="0" fontId="0" fillId="10" borderId="34" xfId="0" applyFill="1" applyBorder="1"/>
    <xf numFmtId="0" fontId="0" fillId="10" borderId="1" xfId="0" applyFill="1" applyBorder="1"/>
    <xf numFmtId="0" fontId="0" fillId="10" borderId="0" xfId="0" applyFill="1"/>
    <xf numFmtId="0" fontId="0" fillId="10" borderId="3" xfId="0" applyFill="1" applyBorder="1"/>
    <xf numFmtId="0" fontId="0" fillId="10" borderId="45" xfId="0" applyFill="1" applyBorder="1"/>
    <xf numFmtId="0" fontId="0" fillId="0" borderId="45" xfId="0" applyBorder="1" applyAlignment="1">
      <alignment horizontal="center"/>
    </xf>
    <xf numFmtId="0" fontId="0" fillId="10" borderId="84" xfId="0" applyFill="1" applyBorder="1"/>
    <xf numFmtId="173" fontId="0" fillId="0" borderId="34" xfId="0" applyNumberFormat="1" applyBorder="1"/>
    <xf numFmtId="174" fontId="0" fillId="0" borderId="45" xfId="0" applyNumberFormat="1" applyBorder="1"/>
    <xf numFmtId="0" fontId="0" fillId="10" borderId="4" xfId="0" applyFill="1" applyBorder="1"/>
    <xf numFmtId="0" fontId="31" fillId="10" borderId="0" xfId="0" applyFont="1" applyFill="1"/>
    <xf numFmtId="49" fontId="28" fillId="10" borderId="0" xfId="0" applyNumberFormat="1" applyFont="1" applyFill="1" applyAlignment="1">
      <alignment horizontal="center"/>
    </xf>
    <xf numFmtId="0" fontId="67" fillId="10" borderId="0" xfId="0" applyFont="1" applyFill="1"/>
    <xf numFmtId="0" fontId="0" fillId="10" borderId="5" xfId="0" applyFill="1" applyBorder="1"/>
    <xf numFmtId="49" fontId="7" fillId="10" borderId="0" xfId="0" applyNumberFormat="1" applyFont="1" applyFill="1" applyAlignment="1">
      <alignment horizontal="center"/>
    </xf>
    <xf numFmtId="0" fontId="32" fillId="10" borderId="0" xfId="0" applyFont="1" applyFill="1"/>
    <xf numFmtId="0" fontId="66" fillId="10" borderId="7" xfId="0" applyFont="1" applyFill="1" applyBorder="1"/>
    <xf numFmtId="0" fontId="32" fillId="10" borderId="7" xfId="0" applyFont="1" applyFill="1" applyBorder="1"/>
    <xf numFmtId="49" fontId="7" fillId="10" borderId="45" xfId="0" applyNumberFormat="1" applyFont="1" applyFill="1" applyBorder="1" applyAlignment="1">
      <alignment horizontal="center"/>
    </xf>
    <xf numFmtId="0" fontId="0" fillId="10" borderId="6" xfId="0" applyFill="1" applyBorder="1"/>
    <xf numFmtId="0" fontId="0" fillId="10" borderId="8" xfId="0" applyFill="1" applyBorder="1"/>
    <xf numFmtId="173" fontId="0" fillId="0" borderId="46" xfId="0" applyNumberFormat="1" applyBorder="1"/>
    <xf numFmtId="173" fontId="0" fillId="0" borderId="47" xfId="0" applyNumberFormat="1" applyBorder="1"/>
    <xf numFmtId="174" fontId="0" fillId="0" borderId="47" xfId="0" applyNumberFormat="1" applyBorder="1"/>
    <xf numFmtId="174" fontId="0" fillId="0" borderId="48" xfId="0" applyNumberFormat="1" applyBorder="1"/>
    <xf numFmtId="0" fontId="0" fillId="10" borderId="0" xfId="0" applyFill="1" applyAlignment="1">
      <alignment horizontal="center"/>
    </xf>
    <xf numFmtId="0" fontId="0" fillId="10" borderId="46" xfId="0" applyFill="1" applyBorder="1"/>
    <xf numFmtId="0" fontId="0" fillId="10" borderId="47" xfId="0" applyFill="1" applyBorder="1"/>
    <xf numFmtId="0" fontId="0" fillId="10" borderId="48" xfId="0" applyFill="1" applyBorder="1"/>
    <xf numFmtId="0" fontId="0" fillId="0" borderId="45" xfId="0" applyBorder="1"/>
    <xf numFmtId="0" fontId="67" fillId="0" borderId="0" xfId="0" applyFont="1"/>
    <xf numFmtId="0" fontId="7" fillId="0" borderId="0" xfId="0" applyFont="1" applyAlignment="1">
      <alignment horizontal="center"/>
    </xf>
    <xf numFmtId="0" fontId="0" fillId="16" borderId="45" xfId="0" applyFill="1" applyBorder="1" applyAlignment="1">
      <alignment horizontal="center"/>
    </xf>
    <xf numFmtId="0" fontId="0" fillId="16" borderId="48" xfId="0" applyFill="1" applyBorder="1" applyAlignment="1">
      <alignment horizontal="center"/>
    </xf>
    <xf numFmtId="0" fontId="0" fillId="0" borderId="22" xfId="0" applyBorder="1"/>
    <xf numFmtId="0" fontId="3" fillId="0" borderId="44" xfId="0" applyFont="1" applyBorder="1" applyAlignment="1">
      <alignment horizontal="center"/>
    </xf>
    <xf numFmtId="0" fontId="61" fillId="0" borderId="34" xfId="0" applyFont="1" applyBorder="1" applyAlignment="1">
      <alignment horizontal="center"/>
    </xf>
    <xf numFmtId="2" fontId="0" fillId="0" borderId="34" xfId="0" applyNumberFormat="1" applyBorder="1"/>
    <xf numFmtId="2" fontId="0" fillId="0" borderId="45" xfId="0" applyNumberFormat="1" applyBorder="1"/>
    <xf numFmtId="0" fontId="0" fillId="0" borderId="111" xfId="0" applyBorder="1"/>
    <xf numFmtId="2" fontId="0" fillId="0" borderId="48" xfId="0" applyNumberFormat="1" applyBorder="1"/>
    <xf numFmtId="0" fontId="0" fillId="0" borderId="74" xfId="0" applyBorder="1" applyAlignment="1">
      <alignment horizontal="left" vertical="center" wrapText="1"/>
    </xf>
    <xf numFmtId="0" fontId="0" fillId="0" borderId="25" xfId="0" applyBorder="1" applyAlignment="1">
      <alignment horizontal="left" vertical="center" wrapText="1"/>
    </xf>
    <xf numFmtId="0" fontId="0" fillId="0" borderId="21" xfId="0" applyBorder="1" applyAlignment="1">
      <alignment horizontal="left" vertical="center" wrapText="1"/>
    </xf>
    <xf numFmtId="0" fontId="0" fillId="0" borderId="28" xfId="0" applyBorder="1" applyAlignment="1">
      <alignment horizontal="left" vertical="center" wrapText="1"/>
    </xf>
    <xf numFmtId="0" fontId="6" fillId="7" borderId="37" xfId="0" applyFont="1" applyFill="1" applyBorder="1" applyAlignment="1">
      <alignment horizontal="left"/>
    </xf>
    <xf numFmtId="0" fontId="6" fillId="7" borderId="63" xfId="0" applyFont="1" applyFill="1" applyBorder="1" applyAlignment="1">
      <alignment horizontal="left"/>
    </xf>
    <xf numFmtId="0" fontId="6" fillId="7" borderId="73" xfId="0" applyFont="1" applyFill="1" applyBorder="1" applyAlignment="1">
      <alignment horizontal="left"/>
    </xf>
    <xf numFmtId="0" fontId="0" fillId="0" borderId="23" xfId="0" applyBorder="1" applyAlignment="1">
      <alignment horizontal="left" vertical="center" wrapText="1"/>
    </xf>
    <xf numFmtId="0" fontId="0" fillId="0" borderId="23" xfId="0" applyFont="1" applyBorder="1" applyAlignment="1">
      <alignment horizontal="left" vertical="center" wrapText="1"/>
    </xf>
    <xf numFmtId="0" fontId="0" fillId="0" borderId="74" xfId="0" applyFont="1" applyBorder="1" applyAlignment="1">
      <alignment horizontal="left" vertical="center" wrapText="1"/>
    </xf>
    <xf numFmtId="0" fontId="0" fillId="0" borderId="25" xfId="0" applyFont="1" applyBorder="1" applyAlignment="1">
      <alignment horizontal="left" vertical="center" wrapText="1"/>
    </xf>
    <xf numFmtId="0" fontId="0" fillId="0" borderId="19" xfId="0" applyBorder="1" applyAlignment="1">
      <alignment horizontal="left" vertical="center" wrapText="1"/>
    </xf>
    <xf numFmtId="0" fontId="0" fillId="0" borderId="27" xfId="0" applyBorder="1" applyAlignment="1">
      <alignment horizontal="left" vertical="center" wrapText="1"/>
    </xf>
    <xf numFmtId="0" fontId="0" fillId="0" borderId="0" xfId="0" applyBorder="1" applyAlignment="1">
      <alignment horizontal="left" wrapText="1"/>
    </xf>
    <xf numFmtId="0" fontId="0" fillId="0" borderId="5" xfId="0" applyBorder="1" applyAlignment="1">
      <alignment horizontal="left" wrapText="1"/>
    </xf>
    <xf numFmtId="0" fontId="0" fillId="0" borderId="0" xfId="0" applyBorder="1" applyAlignment="1">
      <alignment horizontal="left" vertical="center" wrapText="1"/>
    </xf>
    <xf numFmtId="0" fontId="0" fillId="0" borderId="5" xfId="0" applyBorder="1" applyAlignment="1">
      <alignment horizontal="left" vertical="center" wrapText="1"/>
    </xf>
    <xf numFmtId="0" fontId="6" fillId="0" borderId="0" xfId="0" applyFont="1" applyBorder="1" applyAlignment="1">
      <alignment horizontal="left" vertical="center" wrapText="1"/>
    </xf>
    <xf numFmtId="0" fontId="6" fillId="0" borderId="5" xfId="0" applyFont="1" applyBorder="1" applyAlignment="1">
      <alignment horizontal="left" vertical="center" wrapText="1"/>
    </xf>
    <xf numFmtId="0" fontId="6" fillId="0" borderId="0" xfId="0" applyFont="1" applyBorder="1" applyAlignment="1">
      <alignment horizontal="left" wrapText="1"/>
    </xf>
    <xf numFmtId="0" fontId="6" fillId="0" borderId="5" xfId="0" applyFont="1" applyBorder="1" applyAlignment="1">
      <alignment horizontal="left" wrapText="1"/>
    </xf>
    <xf numFmtId="0" fontId="3" fillId="0" borderId="4" xfId="0" applyFont="1" applyBorder="1" applyAlignment="1">
      <alignment horizontal="left" vertical="center"/>
    </xf>
    <xf numFmtId="0" fontId="3" fillId="0" borderId="0" xfId="0" applyFont="1" applyBorder="1" applyAlignment="1">
      <alignment horizontal="left" vertical="center"/>
    </xf>
    <xf numFmtId="0" fontId="6" fillId="0" borderId="0" xfId="0" applyFont="1" applyBorder="1" applyAlignment="1">
      <alignment horizontal="left"/>
    </xf>
    <xf numFmtId="0" fontId="0" fillId="0" borderId="6" xfId="0"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0" fillId="5" borderId="31" xfId="0" applyFill="1" applyBorder="1" applyAlignment="1">
      <alignment horizontal="left" vertical="center"/>
    </xf>
    <xf numFmtId="0" fontId="0" fillId="5" borderId="32" xfId="0" applyFill="1" applyBorder="1" applyAlignment="1">
      <alignment horizontal="left" vertical="center"/>
    </xf>
    <xf numFmtId="0" fontId="0" fillId="5" borderId="33" xfId="0" applyFill="1" applyBorder="1" applyAlignment="1">
      <alignment horizontal="left" vertical="center"/>
    </xf>
    <xf numFmtId="0" fontId="3" fillId="5" borderId="61" xfId="0" applyFont="1" applyFill="1" applyBorder="1" applyAlignment="1">
      <alignment horizontal="center" vertical="center" wrapText="1"/>
    </xf>
    <xf numFmtId="0" fontId="0" fillId="5" borderId="31" xfId="0" applyFill="1" applyBorder="1" applyAlignment="1">
      <alignment horizontal="center" vertical="center"/>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3" fillId="5" borderId="31" xfId="0" applyFont="1" applyFill="1" applyBorder="1" applyAlignment="1">
      <alignment horizontal="center" vertical="center"/>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0" fillId="5" borderId="31" xfId="0" applyFill="1" applyBorder="1" applyAlignment="1">
      <alignment horizontal="left" vertical="center" wrapText="1"/>
    </xf>
    <xf numFmtId="0" fontId="0" fillId="5" borderId="32" xfId="0" applyFill="1" applyBorder="1" applyAlignment="1">
      <alignment horizontal="left" vertical="center" wrapText="1"/>
    </xf>
    <xf numFmtId="0" fontId="0" fillId="5" borderId="33" xfId="0" applyFill="1" applyBorder="1" applyAlignment="1">
      <alignment horizontal="left" vertical="center" wrapText="1"/>
    </xf>
    <xf numFmtId="0" fontId="0" fillId="5" borderId="0" xfId="0" applyFill="1" applyAlignment="1" applyProtection="1">
      <alignment horizontal="center"/>
      <protection locked="0"/>
    </xf>
    <xf numFmtId="0" fontId="3" fillId="5" borderId="35"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4" fillId="2" borderId="31" xfId="0" applyFont="1" applyFill="1" applyBorder="1" applyAlignment="1" applyProtection="1">
      <alignment horizontal="center" vertical="center" wrapText="1"/>
      <protection locked="0"/>
    </xf>
    <xf numFmtId="0" fontId="4" fillId="2" borderId="32" xfId="0" applyFont="1" applyFill="1" applyBorder="1" applyAlignment="1" applyProtection="1">
      <alignment horizontal="center" vertical="center" wrapText="1"/>
      <protection locked="0"/>
    </xf>
    <xf numFmtId="0" fontId="4" fillId="2" borderId="33" xfId="0" applyFont="1" applyFill="1" applyBorder="1" applyAlignment="1" applyProtection="1">
      <alignment horizontal="center" vertical="center" wrapText="1"/>
      <protection locked="0"/>
    </xf>
    <xf numFmtId="0" fontId="4" fillId="2" borderId="31" xfId="0" applyFont="1" applyFill="1" applyBorder="1" applyAlignment="1" applyProtection="1">
      <alignment horizontal="center"/>
      <protection locked="0"/>
    </xf>
    <xf numFmtId="0" fontId="4" fillId="2" borderId="32" xfId="0" applyFont="1" applyFill="1" applyBorder="1" applyAlignment="1" applyProtection="1">
      <alignment horizontal="center"/>
      <protection locked="0"/>
    </xf>
    <xf numFmtId="0" fontId="4" fillId="2" borderId="33" xfId="0" applyFont="1" applyFill="1" applyBorder="1" applyAlignment="1" applyProtection="1">
      <alignment horizontal="center"/>
      <protection locked="0"/>
    </xf>
    <xf numFmtId="0" fontId="4" fillId="2" borderId="31" xfId="0" applyFont="1" applyFill="1" applyBorder="1" applyAlignment="1" applyProtection="1">
      <alignment horizontal="center" vertical="center"/>
      <protection locked="0"/>
    </xf>
    <xf numFmtId="0" fontId="4" fillId="2" borderId="32" xfId="0" applyFont="1" applyFill="1" applyBorder="1" applyAlignment="1" applyProtection="1">
      <alignment horizontal="center" vertical="center"/>
      <protection locked="0"/>
    </xf>
    <xf numFmtId="0" fontId="4" fillId="2" borderId="33" xfId="0" applyFont="1" applyFill="1" applyBorder="1" applyAlignment="1" applyProtection="1">
      <alignment horizontal="center" vertical="center"/>
      <protection locked="0"/>
    </xf>
    <xf numFmtId="0" fontId="0" fillId="0" borderId="0" xfId="0" applyAlignment="1">
      <alignment horizontal="center"/>
    </xf>
    <xf numFmtId="0" fontId="3" fillId="0" borderId="0" xfId="0" applyFont="1" applyBorder="1" applyAlignment="1">
      <alignment horizontal="right"/>
    </xf>
    <xf numFmtId="168" fontId="3" fillId="0" borderId="0" xfId="0" applyNumberFormat="1" applyFont="1" applyBorder="1" applyAlignment="1">
      <alignment horizontal="center" vertical="center"/>
    </xf>
    <xf numFmtId="2" fontId="3" fillId="0" borderId="0" xfId="0" applyNumberFormat="1" applyFont="1" applyBorder="1" applyAlignment="1">
      <alignment horizontal="center" vertical="center"/>
    </xf>
    <xf numFmtId="0" fontId="22" fillId="2" borderId="31" xfId="0" applyFont="1" applyFill="1" applyBorder="1" applyAlignment="1" applyProtection="1">
      <alignment horizontal="center" vertical="center" wrapText="1"/>
      <protection locked="0"/>
    </xf>
    <xf numFmtId="0" fontId="22" fillId="2" borderId="32" xfId="0" applyFont="1" applyFill="1" applyBorder="1" applyAlignment="1" applyProtection="1">
      <alignment horizontal="center" vertical="center" wrapText="1"/>
      <protection locked="0"/>
    </xf>
    <xf numFmtId="0" fontId="22" fillId="2" borderId="33" xfId="0" applyFont="1" applyFill="1" applyBorder="1" applyAlignment="1" applyProtection="1">
      <alignment horizontal="center" vertical="center" wrapText="1"/>
      <protection locked="0"/>
    </xf>
    <xf numFmtId="17" fontId="22" fillId="2" borderId="31" xfId="0" applyNumberFormat="1" applyFont="1" applyFill="1" applyBorder="1" applyAlignment="1" applyProtection="1">
      <alignment horizontal="center" wrapText="1"/>
      <protection locked="0"/>
    </xf>
    <xf numFmtId="17" fontId="22" fillId="2" borderId="33" xfId="0" applyNumberFormat="1" applyFont="1" applyFill="1" applyBorder="1" applyAlignment="1" applyProtection="1">
      <alignment horizontal="center" wrapText="1"/>
      <protection locked="0"/>
    </xf>
    <xf numFmtId="164" fontId="22" fillId="2" borderId="31" xfId="1" applyNumberFormat="1" applyFont="1" applyFill="1" applyBorder="1" applyAlignment="1" applyProtection="1">
      <alignment horizontal="center" wrapText="1"/>
      <protection locked="0"/>
    </xf>
    <xf numFmtId="164" fontId="22" fillId="2" borderId="33" xfId="1" applyNumberFormat="1" applyFont="1" applyFill="1" applyBorder="1" applyAlignment="1" applyProtection="1">
      <alignment horizontal="center" wrapText="1"/>
      <protection locked="0"/>
    </xf>
    <xf numFmtId="0" fontId="22" fillId="2" borderId="31" xfId="0" applyFont="1" applyFill="1" applyBorder="1" applyAlignment="1" applyProtection="1">
      <alignment horizontal="center" wrapText="1"/>
      <protection locked="0"/>
    </xf>
    <xf numFmtId="0" fontId="22" fillId="2" borderId="32" xfId="0" applyFont="1" applyFill="1" applyBorder="1" applyAlignment="1" applyProtection="1">
      <alignment horizontal="center" wrapText="1"/>
      <protection locked="0"/>
    </xf>
    <xf numFmtId="0" fontId="22" fillId="2" borderId="33" xfId="0" applyFont="1" applyFill="1" applyBorder="1" applyAlignment="1" applyProtection="1">
      <alignment horizontal="center" wrapText="1"/>
      <protection locked="0"/>
    </xf>
    <xf numFmtId="0" fontId="11" fillId="2" borderId="35" xfId="0" applyFont="1" applyFill="1" applyBorder="1" applyAlignment="1" applyProtection="1">
      <alignment horizontal="center" vertical="center" wrapText="1"/>
      <protection locked="0"/>
    </xf>
    <xf numFmtId="0" fontId="11" fillId="2" borderId="84" xfId="0" applyFont="1" applyFill="1" applyBorder="1" applyAlignment="1" applyProtection="1">
      <alignment horizontal="center" vertical="center" wrapText="1"/>
      <protection locked="0"/>
    </xf>
    <xf numFmtId="0" fontId="11" fillId="2" borderId="36" xfId="0" applyFont="1" applyFill="1" applyBorder="1" applyAlignment="1" applyProtection="1">
      <alignment horizontal="center" vertical="center" wrapText="1"/>
      <protection locked="0"/>
    </xf>
    <xf numFmtId="0" fontId="22" fillId="2" borderId="31" xfId="0" applyFont="1" applyFill="1" applyBorder="1" applyAlignment="1" applyProtection="1">
      <alignment horizontal="center"/>
      <protection locked="0"/>
    </xf>
    <xf numFmtId="0" fontId="22" fillId="2" borderId="32" xfId="0" applyFont="1" applyFill="1" applyBorder="1" applyAlignment="1" applyProtection="1">
      <alignment horizontal="center"/>
      <protection locked="0"/>
    </xf>
    <xf numFmtId="0" fontId="22" fillId="2" borderId="33" xfId="0" applyFont="1" applyFill="1" applyBorder="1" applyAlignment="1" applyProtection="1">
      <alignment horizontal="center"/>
      <protection locked="0"/>
    </xf>
    <xf numFmtId="0" fontId="6" fillId="2" borderId="31" xfId="0" applyFont="1" applyFill="1" applyBorder="1" applyAlignment="1" applyProtection="1">
      <alignment horizontal="center" vertical="center"/>
      <protection locked="0"/>
    </xf>
    <xf numFmtId="0" fontId="6" fillId="2" borderId="32" xfId="0" applyFont="1" applyFill="1" applyBorder="1" applyAlignment="1" applyProtection="1">
      <alignment horizontal="center" vertical="center"/>
      <protection locked="0"/>
    </xf>
    <xf numFmtId="0" fontId="6" fillId="2" borderId="33" xfId="0" applyFont="1" applyFill="1" applyBorder="1" applyAlignment="1" applyProtection="1">
      <alignment horizontal="center" vertical="center"/>
      <protection locked="0"/>
    </xf>
    <xf numFmtId="0" fontId="6" fillId="5" borderId="22" xfId="0" applyFont="1" applyFill="1" applyBorder="1" applyAlignment="1">
      <alignment horizontal="left" vertical="center" wrapText="1"/>
    </xf>
    <xf numFmtId="0" fontId="6" fillId="5" borderId="43" xfId="0" applyFont="1" applyFill="1" applyBorder="1" applyAlignment="1">
      <alignment horizontal="left" vertical="center" wrapText="1"/>
    </xf>
    <xf numFmtId="0" fontId="6" fillId="5" borderId="44" xfId="0" applyFont="1" applyFill="1" applyBorder="1" applyAlignment="1">
      <alignment horizontal="left" vertical="center" wrapText="1"/>
    </xf>
    <xf numFmtId="0" fontId="6" fillId="5" borderId="34" xfId="0" applyFont="1" applyFill="1" applyBorder="1" applyAlignment="1">
      <alignment horizontal="left" vertical="center" wrapText="1"/>
    </xf>
    <xf numFmtId="0" fontId="6" fillId="5" borderId="0" xfId="0" applyFont="1" applyFill="1" applyBorder="1" applyAlignment="1">
      <alignment horizontal="left" vertical="center" wrapText="1"/>
    </xf>
    <xf numFmtId="0" fontId="6" fillId="5" borderId="45" xfId="0" applyFont="1" applyFill="1" applyBorder="1" applyAlignment="1">
      <alignment horizontal="left" vertical="center" wrapText="1"/>
    </xf>
    <xf numFmtId="0" fontId="6" fillId="5" borderId="46" xfId="0" applyFont="1" applyFill="1" applyBorder="1" applyAlignment="1">
      <alignment horizontal="left" vertical="center" wrapText="1"/>
    </xf>
    <xf numFmtId="0" fontId="6" fillId="5" borderId="47" xfId="0" applyFont="1" applyFill="1" applyBorder="1" applyAlignment="1">
      <alignment horizontal="left" vertical="center" wrapText="1"/>
    </xf>
    <xf numFmtId="0" fontId="6" fillId="5" borderId="48" xfId="0" applyFont="1" applyFill="1" applyBorder="1" applyAlignment="1">
      <alignment horizontal="left" vertical="center" wrapText="1"/>
    </xf>
    <xf numFmtId="0" fontId="8" fillId="5" borderId="0" xfId="0" applyFont="1" applyFill="1" applyAlignment="1">
      <alignment horizontal="center" wrapText="1"/>
    </xf>
    <xf numFmtId="0" fontId="3" fillId="5" borderId="0" xfId="0" applyFont="1" applyFill="1" applyAlignment="1">
      <alignment horizontal="right"/>
    </xf>
    <xf numFmtId="2" fontId="3" fillId="5" borderId="0" xfId="0" applyNumberFormat="1" applyFont="1" applyFill="1" applyAlignment="1">
      <alignment horizontal="center" vertical="center"/>
    </xf>
    <xf numFmtId="167" fontId="3" fillId="5" borderId="0" xfId="0" applyNumberFormat="1" applyFont="1" applyFill="1" applyAlignment="1">
      <alignment horizontal="center" vertical="center"/>
    </xf>
    <xf numFmtId="0" fontId="6" fillId="0" borderId="22" xfId="0" applyFont="1" applyFill="1" applyBorder="1" applyAlignment="1">
      <alignment horizontal="left" vertical="center" wrapText="1"/>
    </xf>
    <xf numFmtId="0" fontId="6" fillId="0" borderId="43" xfId="0" applyFont="1" applyFill="1" applyBorder="1" applyAlignment="1">
      <alignment horizontal="left" vertical="center" wrapText="1"/>
    </xf>
    <xf numFmtId="0" fontId="6" fillId="0" borderId="44" xfId="0" applyFont="1" applyFill="1" applyBorder="1" applyAlignment="1">
      <alignment horizontal="left" vertical="center" wrapText="1"/>
    </xf>
    <xf numFmtId="0" fontId="6" fillId="0" borderId="34"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45" xfId="0" applyFont="1" applyFill="1" applyBorder="1" applyAlignment="1">
      <alignment horizontal="left" vertical="center" wrapText="1"/>
    </xf>
    <xf numFmtId="1" fontId="4" fillId="12" borderId="31" xfId="0" applyNumberFormat="1" applyFont="1" applyFill="1" applyBorder="1" applyAlignment="1">
      <alignment horizontal="center" vertical="center"/>
    </xf>
    <xf numFmtId="1" fontId="4" fillId="12" borderId="33" xfId="0" applyNumberFormat="1" applyFont="1" applyFill="1" applyBorder="1" applyAlignment="1">
      <alignment horizontal="center" vertical="center"/>
    </xf>
    <xf numFmtId="0" fontId="3" fillId="12" borderId="9" xfId="0" applyFont="1" applyFill="1" applyBorder="1" applyAlignment="1">
      <alignment horizontal="center" vertical="center" wrapText="1"/>
    </xf>
    <xf numFmtId="0" fontId="3" fillId="12" borderId="75" xfId="0" applyFont="1" applyFill="1" applyBorder="1" applyAlignment="1">
      <alignment horizontal="center" vertical="center" wrapText="1"/>
    </xf>
    <xf numFmtId="0" fontId="3" fillId="12" borderId="22" xfId="0" applyFont="1" applyFill="1" applyBorder="1" applyAlignment="1">
      <alignment horizontal="center" vertical="center" wrapText="1"/>
    </xf>
    <xf numFmtId="0" fontId="3" fillId="12" borderId="44" xfId="0" applyFont="1" applyFill="1" applyBorder="1" applyAlignment="1">
      <alignment horizontal="center" vertical="center" wrapText="1"/>
    </xf>
    <xf numFmtId="0" fontId="3" fillId="12" borderId="34" xfId="0" applyFont="1" applyFill="1" applyBorder="1" applyAlignment="1">
      <alignment horizontal="center" vertical="center" wrapText="1"/>
    </xf>
    <xf numFmtId="0" fontId="3" fillId="12" borderId="45" xfId="0" applyFont="1" applyFill="1" applyBorder="1" applyAlignment="1">
      <alignment horizontal="center" vertical="center" wrapText="1"/>
    </xf>
    <xf numFmtId="0" fontId="6" fillId="12" borderId="22" xfId="0" applyFont="1" applyFill="1" applyBorder="1" applyAlignment="1">
      <alignment horizontal="center" vertical="center" wrapText="1"/>
    </xf>
    <xf numFmtId="0" fontId="6" fillId="12" borderId="43" xfId="0" applyFont="1" applyFill="1" applyBorder="1" applyAlignment="1">
      <alignment horizontal="center" vertical="center" wrapText="1"/>
    </xf>
    <xf numFmtId="0" fontId="6" fillId="12" borderId="44" xfId="0" applyFont="1" applyFill="1" applyBorder="1" applyAlignment="1">
      <alignment horizontal="center" vertical="center" wrapText="1"/>
    </xf>
    <xf numFmtId="0" fontId="4" fillId="12" borderId="104" xfId="0" applyFont="1" applyFill="1" applyBorder="1" applyAlignment="1">
      <alignment horizontal="center" vertical="center"/>
    </xf>
    <xf numFmtId="0" fontId="4" fillId="12" borderId="105" xfId="0" applyFont="1" applyFill="1" applyBorder="1" applyAlignment="1">
      <alignment horizontal="center" vertical="center"/>
    </xf>
    <xf numFmtId="0" fontId="0" fillId="0" borderId="19" xfId="0" applyFill="1" applyBorder="1" applyAlignment="1">
      <alignment horizontal="center" textRotation="90" wrapText="1"/>
    </xf>
    <xf numFmtId="0" fontId="3" fillId="10" borderId="0" xfId="0" applyFont="1" applyFill="1" applyAlignment="1" applyProtection="1">
      <alignment horizontal="right"/>
    </xf>
    <xf numFmtId="0" fontId="16" fillId="10" borderId="1" xfId="0" applyFont="1" applyFill="1" applyBorder="1" applyAlignment="1" applyProtection="1">
      <alignment horizontal="center" vertical="center" wrapText="1"/>
    </xf>
    <xf numFmtId="0" fontId="16" fillId="10" borderId="3" xfId="0" applyFont="1" applyFill="1" applyBorder="1" applyAlignment="1" applyProtection="1">
      <alignment horizontal="center" vertical="center" wrapText="1"/>
    </xf>
    <xf numFmtId="0" fontId="16" fillId="10" borderId="4" xfId="0" applyFont="1" applyFill="1" applyBorder="1" applyAlignment="1" applyProtection="1">
      <alignment horizontal="center" vertical="center" wrapText="1"/>
    </xf>
    <xf numFmtId="0" fontId="16" fillId="10" borderId="5" xfId="0" applyFont="1" applyFill="1" applyBorder="1" applyAlignment="1" applyProtection="1">
      <alignment horizontal="center" vertical="center" wrapText="1"/>
    </xf>
    <xf numFmtId="0" fontId="16" fillId="10" borderId="6" xfId="0" applyFont="1" applyFill="1" applyBorder="1" applyAlignment="1" applyProtection="1">
      <alignment horizontal="center" vertical="center" wrapText="1"/>
    </xf>
    <xf numFmtId="0" fontId="16" fillId="10" borderId="8" xfId="0" applyFont="1" applyFill="1" applyBorder="1" applyAlignment="1" applyProtection="1">
      <alignment horizontal="center" vertical="center" wrapText="1"/>
    </xf>
    <xf numFmtId="2" fontId="3" fillId="10" borderId="0" xfId="0" applyNumberFormat="1" applyFont="1" applyFill="1" applyAlignment="1" applyProtection="1">
      <alignment horizontal="center" vertical="center"/>
    </xf>
    <xf numFmtId="167" fontId="3" fillId="10" borderId="0" xfId="0" applyNumberFormat="1" applyFont="1" applyFill="1" applyAlignment="1" applyProtection="1">
      <alignment horizontal="center" vertical="center"/>
    </xf>
    <xf numFmtId="0" fontId="37" fillId="10" borderId="31" xfId="0" applyFont="1" applyFill="1" applyBorder="1" applyAlignment="1" applyProtection="1">
      <alignment horizontal="center" vertical="center" wrapText="1"/>
    </xf>
    <xf numFmtId="0" fontId="37" fillId="10" borderId="32" xfId="0" applyFont="1" applyFill="1" applyBorder="1" applyAlignment="1" applyProtection="1">
      <alignment horizontal="center" vertical="center" wrapText="1"/>
    </xf>
    <xf numFmtId="0" fontId="37" fillId="10" borderId="33" xfId="0" applyFont="1" applyFill="1" applyBorder="1" applyAlignment="1" applyProtection="1">
      <alignment horizontal="center" vertical="center" wrapText="1"/>
    </xf>
    <xf numFmtId="0" fontId="37" fillId="10" borderId="31" xfId="0" applyFont="1" applyFill="1" applyBorder="1" applyAlignment="1" applyProtection="1">
      <alignment horizontal="center" wrapText="1"/>
    </xf>
    <xf numFmtId="0" fontId="37" fillId="10" borderId="33" xfId="0" applyFont="1" applyFill="1" applyBorder="1" applyAlignment="1" applyProtection="1">
      <alignment horizontal="center" wrapText="1"/>
    </xf>
    <xf numFmtId="0" fontId="3" fillId="10" borderId="56" xfId="0" applyFont="1" applyFill="1" applyBorder="1" applyAlignment="1" applyProtection="1">
      <alignment horizontal="center" vertical="center" wrapText="1"/>
    </xf>
    <xf numFmtId="167" fontId="37" fillId="10" borderId="31" xfId="0" applyNumberFormat="1" applyFont="1" applyFill="1" applyBorder="1" applyAlignment="1" applyProtection="1">
      <alignment horizontal="center" wrapText="1"/>
    </xf>
    <xf numFmtId="167" fontId="37" fillId="10" borderId="33" xfId="0" applyNumberFormat="1" applyFont="1" applyFill="1" applyBorder="1" applyAlignment="1" applyProtection="1">
      <alignment horizontal="center" wrapText="1"/>
    </xf>
    <xf numFmtId="0" fontId="37" fillId="10" borderId="32" xfId="0" applyFont="1" applyFill="1" applyBorder="1" applyAlignment="1" applyProtection="1">
      <alignment horizontal="center" wrapText="1"/>
    </xf>
    <xf numFmtId="170" fontId="37" fillId="10" borderId="31" xfId="0" applyNumberFormat="1" applyFont="1" applyFill="1" applyBorder="1" applyAlignment="1" applyProtection="1">
      <alignment horizontal="center" wrapText="1"/>
    </xf>
    <xf numFmtId="170" fontId="37" fillId="10" borderId="33" xfId="0" applyNumberFormat="1" applyFont="1" applyFill="1" applyBorder="1" applyAlignment="1" applyProtection="1">
      <alignment horizontal="center" wrapText="1"/>
    </xf>
    <xf numFmtId="0" fontId="37" fillId="10" borderId="31" xfId="0" applyFont="1" applyFill="1" applyBorder="1" applyAlignment="1" applyProtection="1">
      <alignment horizontal="left" vertical="center" wrapText="1"/>
    </xf>
    <xf numFmtId="0" fontId="37" fillId="10" borderId="32" xfId="0" applyFont="1" applyFill="1" applyBorder="1" applyAlignment="1" applyProtection="1">
      <alignment horizontal="left" vertical="center" wrapText="1"/>
    </xf>
    <xf numFmtId="0" fontId="37" fillId="10" borderId="33" xfId="0" applyFont="1" applyFill="1" applyBorder="1" applyAlignment="1" applyProtection="1">
      <alignment horizontal="left" vertical="center" wrapText="1"/>
    </xf>
    <xf numFmtId="0" fontId="4" fillId="8" borderId="1" xfId="0" applyFont="1" applyFill="1" applyBorder="1" applyAlignment="1" applyProtection="1">
      <alignment horizontal="center" vertical="center" wrapText="1"/>
      <protection locked="0"/>
    </xf>
    <xf numFmtId="0" fontId="4" fillId="8" borderId="2" xfId="0" applyFont="1" applyFill="1" applyBorder="1" applyAlignment="1" applyProtection="1">
      <alignment horizontal="center" vertical="center" wrapText="1"/>
      <protection locked="0"/>
    </xf>
    <xf numFmtId="0" fontId="4" fillId="8" borderId="3" xfId="0" applyFont="1" applyFill="1" applyBorder="1" applyAlignment="1" applyProtection="1">
      <alignment horizontal="center" vertical="center" wrapText="1"/>
      <protection locked="0"/>
    </xf>
    <xf numFmtId="0" fontId="4" fillId="8" borderId="6" xfId="0" applyFont="1" applyFill="1" applyBorder="1" applyAlignment="1" applyProtection="1">
      <alignment horizontal="center" vertical="center" wrapText="1"/>
      <protection locked="0"/>
    </xf>
    <xf numFmtId="0" fontId="4" fillId="8" borderId="7" xfId="0" applyFont="1" applyFill="1" applyBorder="1" applyAlignment="1" applyProtection="1">
      <alignment horizontal="center" vertical="center" wrapText="1"/>
      <protection locked="0"/>
    </xf>
    <xf numFmtId="0" fontId="4" fillId="8" borderId="8" xfId="0" applyFont="1" applyFill="1" applyBorder="1" applyAlignment="1" applyProtection="1">
      <alignment horizontal="center" vertical="center" wrapText="1"/>
      <protection locked="0"/>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0" fillId="0" borderId="81" xfId="0" applyBorder="1" applyAlignment="1">
      <alignment horizontal="left" vertical="center" wrapText="1"/>
    </xf>
    <xf numFmtId="0" fontId="0" fillId="0" borderId="0" xfId="0" applyAlignment="1">
      <alignment horizontal="left" vertical="center" wrapText="1"/>
    </xf>
    <xf numFmtId="0" fontId="6" fillId="8" borderId="1" xfId="0" applyFont="1" applyFill="1" applyBorder="1" applyAlignment="1" applyProtection="1">
      <alignment horizontal="left" vertical="center" wrapText="1"/>
      <protection locked="0"/>
    </xf>
    <xf numFmtId="0" fontId="6" fillId="8" borderId="2" xfId="0" applyFont="1" applyFill="1" applyBorder="1" applyAlignment="1" applyProtection="1">
      <alignment horizontal="left" vertical="center" wrapText="1"/>
      <protection locked="0"/>
    </xf>
    <xf numFmtId="0" fontId="6" fillId="8" borderId="3" xfId="0" applyFont="1" applyFill="1" applyBorder="1" applyAlignment="1" applyProtection="1">
      <alignment horizontal="left" vertical="center" wrapText="1"/>
      <protection locked="0"/>
    </xf>
    <xf numFmtId="0" fontId="6" fillId="8" borderId="4" xfId="0" applyFont="1" applyFill="1" applyBorder="1" applyAlignment="1" applyProtection="1">
      <alignment horizontal="left" vertical="center" wrapText="1"/>
      <protection locked="0"/>
    </xf>
    <xf numFmtId="0" fontId="6" fillId="8" borderId="0" xfId="0" applyFont="1" applyFill="1" applyAlignment="1" applyProtection="1">
      <alignment horizontal="left" vertical="center" wrapText="1"/>
      <protection locked="0"/>
    </xf>
    <xf numFmtId="0" fontId="6" fillId="8" borderId="5" xfId="0" applyFont="1" applyFill="1" applyBorder="1" applyAlignment="1" applyProtection="1">
      <alignment horizontal="left" vertical="center" wrapText="1"/>
      <protection locked="0"/>
    </xf>
    <xf numFmtId="0" fontId="6" fillId="8" borderId="6" xfId="0" applyFont="1" applyFill="1" applyBorder="1" applyAlignment="1" applyProtection="1">
      <alignment horizontal="left" vertical="center" wrapText="1"/>
      <protection locked="0"/>
    </xf>
    <xf numFmtId="0" fontId="6" fillId="8" borderId="7" xfId="0" applyFont="1" applyFill="1" applyBorder="1" applyAlignment="1" applyProtection="1">
      <alignment horizontal="left" vertical="center" wrapText="1"/>
      <protection locked="0"/>
    </xf>
    <xf numFmtId="0" fontId="6" fillId="8" borderId="8" xfId="0" applyFont="1" applyFill="1" applyBorder="1" applyAlignment="1" applyProtection="1">
      <alignment horizontal="left" vertical="center" wrapText="1"/>
      <protection locked="0"/>
    </xf>
    <xf numFmtId="0" fontId="0" fillId="0" borderId="65" xfId="0" applyBorder="1" applyAlignment="1">
      <alignment horizontal="left" wrapText="1"/>
    </xf>
    <xf numFmtId="0" fontId="0" fillId="0" borderId="77" xfId="0" applyBorder="1" applyAlignment="1">
      <alignment horizontal="left" wrapText="1"/>
    </xf>
    <xf numFmtId="0" fontId="0" fillId="0" borderId="78" xfId="0" applyBorder="1" applyAlignment="1">
      <alignment horizontal="left" wrapText="1"/>
    </xf>
    <xf numFmtId="0" fontId="32" fillId="0" borderId="19" xfId="0" applyFont="1" applyBorder="1" applyAlignment="1" applyProtection="1">
      <alignment horizontal="left" wrapText="1"/>
      <protection locked="0"/>
    </xf>
    <xf numFmtId="0" fontId="32" fillId="0" borderId="27" xfId="0" applyFont="1" applyBorder="1" applyAlignment="1" applyProtection="1">
      <alignment horizontal="left" wrapText="1"/>
      <protection locked="0"/>
    </xf>
    <xf numFmtId="0" fontId="19" fillId="8" borderId="23" xfId="0" applyFont="1" applyFill="1" applyBorder="1" applyAlignment="1" applyProtection="1">
      <alignment horizontal="left" wrapText="1"/>
      <protection locked="0"/>
    </xf>
    <xf numFmtId="0" fontId="19" fillId="8" borderId="74" xfId="0" applyFont="1" applyFill="1" applyBorder="1" applyAlignment="1" applyProtection="1">
      <alignment horizontal="left" wrapText="1"/>
      <protection locked="0"/>
    </xf>
    <xf numFmtId="0" fontId="19" fillId="8" borderId="25" xfId="0" applyFont="1" applyFill="1" applyBorder="1" applyAlignment="1" applyProtection="1">
      <alignment horizontal="left" wrapText="1"/>
      <protection locked="0"/>
    </xf>
    <xf numFmtId="0" fontId="19" fillId="8" borderId="21" xfId="0" applyFont="1" applyFill="1" applyBorder="1" applyAlignment="1" applyProtection="1">
      <alignment horizontal="left" wrapText="1"/>
      <protection locked="0"/>
    </xf>
    <xf numFmtId="0" fontId="19" fillId="8" borderId="28" xfId="0" applyFont="1" applyFill="1" applyBorder="1" applyAlignment="1" applyProtection="1">
      <alignment horizontal="left" wrapText="1"/>
      <protection locked="0"/>
    </xf>
    <xf numFmtId="0" fontId="0" fillId="2" borderId="16" xfId="0" applyFill="1" applyBorder="1" applyAlignment="1">
      <alignment horizontal="center"/>
    </xf>
    <xf numFmtId="0" fontId="0" fillId="2" borderId="17" xfId="0" applyFill="1" applyBorder="1" applyAlignment="1">
      <alignment horizontal="center"/>
    </xf>
    <xf numFmtId="0" fontId="0" fillId="0" borderId="17" xfId="0" applyBorder="1" applyAlignment="1">
      <alignment horizontal="left" vertical="center"/>
    </xf>
    <xf numFmtId="0" fontId="0" fillId="0" borderId="24" xfId="0" applyBorder="1" applyAlignment="1">
      <alignment horizontal="left" vertical="center"/>
    </xf>
    <xf numFmtId="0" fontId="3" fillId="8" borderId="13" xfId="0" applyFont="1" applyFill="1" applyBorder="1" applyAlignment="1" applyProtection="1">
      <alignment horizontal="center" vertical="center" wrapText="1"/>
      <protection locked="0"/>
    </xf>
    <xf numFmtId="0" fontId="3" fillId="8" borderId="15" xfId="0" applyFont="1" applyFill="1" applyBorder="1" applyAlignment="1" applyProtection="1">
      <alignment horizontal="center" vertical="center" wrapText="1"/>
      <protection locked="0"/>
    </xf>
    <xf numFmtId="0" fontId="20" fillId="0" borderId="31" xfId="0" applyFont="1" applyBorder="1" applyAlignment="1">
      <alignment horizontal="center" vertical="center" wrapText="1"/>
    </xf>
    <xf numFmtId="0" fontId="20" fillId="0" borderId="33" xfId="0" applyFont="1" applyBorder="1" applyAlignment="1">
      <alignment horizontal="center" vertical="center" wrapText="1"/>
    </xf>
    <xf numFmtId="0" fontId="44" fillId="11" borderId="50" xfId="0" applyFont="1" applyFill="1" applyBorder="1" applyAlignment="1">
      <alignment horizontal="center" vertical="center"/>
    </xf>
    <xf numFmtId="0" fontId="44" fillId="11" borderId="63" xfId="0" applyFont="1" applyFill="1" applyBorder="1" applyAlignment="1">
      <alignment horizontal="center" vertical="center"/>
    </xf>
    <xf numFmtId="0" fontId="44" fillId="11" borderId="73" xfId="0" applyFont="1" applyFill="1" applyBorder="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0" xfId="0" applyFont="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3" fillId="0" borderId="61" xfId="0" applyFont="1" applyBorder="1" applyAlignment="1">
      <alignment horizontal="center" vertical="center" wrapText="1"/>
    </xf>
    <xf numFmtId="0" fontId="22" fillId="11" borderId="79" xfId="0" applyFont="1" applyFill="1" applyBorder="1" applyAlignment="1">
      <alignment horizontal="center" vertical="center"/>
    </xf>
    <xf numFmtId="0" fontId="22" fillId="11" borderId="80" xfId="0" applyFont="1" applyFill="1" applyBorder="1" applyAlignment="1">
      <alignment horizontal="center" vertical="center"/>
    </xf>
    <xf numFmtId="0" fontId="22" fillId="11" borderId="26" xfId="0" applyFont="1" applyFill="1" applyBorder="1" applyAlignment="1">
      <alignment horizontal="center" vertical="center"/>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81" xfId="0" applyBorder="1" applyAlignment="1">
      <alignment horizontal="left" vertical="center"/>
    </xf>
    <xf numFmtId="0" fontId="0" fillId="0" borderId="0" xfId="0" applyAlignment="1">
      <alignment horizontal="left" vertical="center"/>
    </xf>
    <xf numFmtId="0" fontId="0" fillId="0" borderId="5" xfId="0" applyBorder="1" applyAlignment="1">
      <alignment horizontal="left" vertical="center"/>
    </xf>
    <xf numFmtId="0" fontId="4" fillId="0" borderId="37" xfId="0" applyFont="1" applyBorder="1" applyAlignment="1">
      <alignment horizontal="left" vertical="center" wrapText="1"/>
    </xf>
    <xf numFmtId="0" fontId="4" fillId="0" borderId="63" xfId="0" applyFont="1" applyBorder="1" applyAlignment="1">
      <alignment horizontal="left" vertical="center" wrapText="1"/>
    </xf>
    <xf numFmtId="0" fontId="4" fillId="0" borderId="73" xfId="0" applyFont="1" applyBorder="1" applyAlignment="1">
      <alignment horizontal="left" vertical="center" wrapText="1"/>
    </xf>
    <xf numFmtId="44" fontId="0" fillId="8" borderId="20" xfId="1" applyFont="1" applyFill="1" applyBorder="1" applyAlignment="1" applyProtection="1">
      <alignment horizontal="center" vertical="center"/>
      <protection locked="0"/>
    </xf>
    <xf numFmtId="44" fontId="0" fillId="8" borderId="21" xfId="1" applyFont="1" applyFill="1" applyBorder="1" applyAlignment="1" applyProtection="1">
      <alignment horizontal="center" vertical="center"/>
      <protection locked="0"/>
    </xf>
    <xf numFmtId="0" fontId="0" fillId="0" borderId="21" xfId="0" applyBorder="1" applyAlignment="1">
      <alignment horizontal="left" vertical="center"/>
    </xf>
    <xf numFmtId="0" fontId="0" fillId="0" borderId="28" xfId="0" applyBorder="1" applyAlignment="1">
      <alignment horizontal="left" vertical="center"/>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41" fillId="6" borderId="82" xfId="0" applyFont="1" applyFill="1" applyBorder="1" applyAlignment="1">
      <alignment horizontal="center" vertical="center" wrapText="1"/>
    </xf>
    <xf numFmtId="0" fontId="4" fillId="0" borderId="7" xfId="0" applyFont="1" applyBorder="1" applyAlignment="1" applyProtection="1">
      <alignment horizontal="left" vertical="center" wrapText="1"/>
      <protection hidden="1"/>
    </xf>
    <xf numFmtId="3" fontId="6" fillId="0" borderId="9" xfId="0" applyNumberFormat="1" applyFont="1" applyBorder="1" applyAlignment="1" applyProtection="1">
      <alignment horizontal="center" vertical="center"/>
      <protection locked="0"/>
    </xf>
    <xf numFmtId="3" fontId="6" fillId="0" borderId="12" xfId="0" applyNumberFormat="1" applyFont="1" applyBorder="1" applyAlignment="1" applyProtection="1">
      <alignment horizontal="center" vertical="center"/>
      <protection locked="0"/>
    </xf>
    <xf numFmtId="0" fontId="0" fillId="0" borderId="9" xfId="0" applyBorder="1" applyAlignment="1">
      <alignment horizontal="center" vertical="center" wrapText="1"/>
    </xf>
    <xf numFmtId="0" fontId="0" fillId="0" borderId="12" xfId="0" applyBorder="1" applyAlignment="1">
      <alignment horizontal="center" vertical="center" wrapText="1"/>
    </xf>
    <xf numFmtId="0" fontId="4" fillId="0" borderId="9" xfId="0" applyFont="1" applyBorder="1" applyAlignment="1">
      <alignment horizontal="center" vertical="center"/>
    </xf>
    <xf numFmtId="0" fontId="4" fillId="0" borderId="12" xfId="0" applyFont="1" applyBorder="1" applyAlignment="1">
      <alignment horizontal="center" vertical="center"/>
    </xf>
    <xf numFmtId="0" fontId="7" fillId="0" borderId="9" xfId="0" applyFont="1" applyBorder="1" applyAlignment="1">
      <alignment horizontal="center" vertical="center" wrapText="1"/>
    </xf>
    <xf numFmtId="0" fontId="6" fillId="0" borderId="12" xfId="0" applyFont="1" applyBorder="1" applyAlignment="1">
      <alignment horizontal="center" vertical="center" wrapText="1"/>
    </xf>
    <xf numFmtId="0" fontId="8" fillId="2" borderId="9" xfId="0" applyFont="1" applyFill="1" applyBorder="1" applyAlignment="1" applyProtection="1">
      <alignment horizontal="center" vertical="center"/>
      <protection locked="0"/>
    </xf>
    <xf numFmtId="0" fontId="8" fillId="2" borderId="12" xfId="0" applyFont="1" applyFill="1" applyBorder="1" applyAlignment="1" applyProtection="1">
      <alignment horizontal="center" vertical="center"/>
      <protection locked="0"/>
    </xf>
    <xf numFmtId="0" fontId="3" fillId="8" borderId="22" xfId="0" applyFont="1" applyFill="1" applyBorder="1" applyAlignment="1" applyProtection="1">
      <alignment horizontal="center" vertical="center" wrapText="1"/>
      <protection locked="0"/>
    </xf>
    <xf numFmtId="0" fontId="3" fillId="8" borderId="46" xfId="0" applyFont="1" applyFill="1" applyBorder="1" applyAlignment="1" applyProtection="1">
      <alignment horizontal="center" vertical="center" wrapText="1"/>
      <protection locked="0"/>
    </xf>
    <xf numFmtId="44" fontId="28" fillId="0" borderId="9" xfId="1" applyFont="1" applyFill="1" applyBorder="1" applyAlignment="1" applyProtection="1">
      <alignment horizontal="center" vertical="center"/>
    </xf>
    <xf numFmtId="44" fontId="28" fillId="0" borderId="12" xfId="1" applyFont="1" applyFill="1" applyBorder="1" applyAlignment="1" applyProtection="1">
      <alignment horizontal="center" vertical="center"/>
    </xf>
    <xf numFmtId="44" fontId="6" fillId="8" borderId="9" xfId="1" applyFont="1" applyFill="1" applyBorder="1" applyAlignment="1" applyProtection="1">
      <alignment horizontal="center" vertical="center" wrapText="1"/>
      <protection locked="0"/>
    </xf>
    <xf numFmtId="44" fontId="6" fillId="8" borderId="12" xfId="1" applyFont="1" applyFill="1" applyBorder="1" applyAlignment="1" applyProtection="1">
      <alignment horizontal="center" vertical="center" wrapText="1"/>
      <protection locked="0"/>
    </xf>
    <xf numFmtId="164" fontId="6" fillId="0" borderId="9" xfId="1" applyNumberFormat="1" applyFont="1" applyBorder="1" applyAlignment="1" applyProtection="1">
      <alignment horizontal="center" vertical="center"/>
    </xf>
    <xf numFmtId="164" fontId="6" fillId="0" borderId="12" xfId="1" applyNumberFormat="1" applyFont="1" applyBorder="1" applyAlignment="1" applyProtection="1">
      <alignment horizontal="center" vertical="center"/>
    </xf>
    <xf numFmtId="165" fontId="0" fillId="0" borderId="9" xfId="2" applyNumberFormat="1" applyFont="1" applyBorder="1" applyAlignment="1" applyProtection="1">
      <alignment horizontal="center" vertical="center"/>
    </xf>
    <xf numFmtId="165" fontId="0" fillId="0" borderId="12" xfId="2" applyNumberFormat="1" applyFont="1" applyBorder="1" applyAlignment="1" applyProtection="1">
      <alignment horizontal="center" vertical="center"/>
    </xf>
    <xf numFmtId="0" fontId="11" fillId="9" borderId="9" xfId="0" applyFont="1" applyFill="1" applyBorder="1" applyAlignment="1">
      <alignment horizontal="left" vertical="center" wrapText="1"/>
    </xf>
    <xf numFmtId="0" fontId="11" fillId="9" borderId="12" xfId="0" applyFont="1" applyFill="1" applyBorder="1" applyAlignment="1">
      <alignment horizontal="left" vertical="center" wrapText="1"/>
    </xf>
    <xf numFmtId="44" fontId="6" fillId="8" borderId="9" xfId="1" applyFont="1" applyFill="1" applyBorder="1" applyAlignment="1" applyProtection="1">
      <alignment horizontal="center" vertical="center"/>
      <protection locked="0"/>
    </xf>
    <xf numFmtId="44" fontId="6" fillId="8" borderId="12" xfId="1" applyFont="1" applyFill="1" applyBorder="1" applyAlignment="1" applyProtection="1">
      <alignment horizontal="center" vertical="center"/>
      <protection locked="0"/>
    </xf>
    <xf numFmtId="0" fontId="4" fillId="0" borderId="75" xfId="0" applyFont="1" applyBorder="1" applyAlignment="1">
      <alignment horizontal="center" vertical="center"/>
    </xf>
    <xf numFmtId="0" fontId="6" fillId="0" borderId="75" xfId="0" applyFont="1" applyBorder="1" applyAlignment="1">
      <alignment horizontal="center" vertical="center" wrapText="1"/>
    </xf>
    <xf numFmtId="0" fontId="8" fillId="2" borderId="75" xfId="0" applyFont="1" applyFill="1" applyBorder="1" applyAlignment="1" applyProtection="1">
      <alignment horizontal="center" vertical="center"/>
      <protection locked="0"/>
    </xf>
    <xf numFmtId="3" fontId="6" fillId="0" borderId="75" xfId="0" applyNumberFormat="1" applyFont="1" applyBorder="1" applyAlignment="1" applyProtection="1">
      <alignment horizontal="center" vertical="center"/>
      <protection locked="0"/>
    </xf>
    <xf numFmtId="0" fontId="11" fillId="9" borderId="75" xfId="0" applyFont="1" applyFill="1" applyBorder="1" applyAlignment="1">
      <alignment horizontal="left" vertical="center" wrapText="1"/>
    </xf>
    <xf numFmtId="0" fontId="4" fillId="0" borderId="11" xfId="0" applyFont="1" applyBorder="1" applyAlignment="1">
      <alignment horizontal="center" vertical="center"/>
    </xf>
    <xf numFmtId="0" fontId="7" fillId="0" borderId="11" xfId="0" applyFont="1" applyBorder="1" applyAlignment="1">
      <alignment horizontal="center" vertical="center" wrapText="1"/>
    </xf>
    <xf numFmtId="0" fontId="8" fillId="2" borderId="11" xfId="0" applyFont="1" applyFill="1" applyBorder="1" applyAlignment="1" applyProtection="1">
      <alignment horizontal="center" vertical="center"/>
      <protection locked="0"/>
    </xf>
    <xf numFmtId="3" fontId="6" fillId="0" borderId="11" xfId="0" applyNumberFormat="1" applyFont="1" applyBorder="1" applyAlignment="1" applyProtection="1">
      <alignment horizontal="center" vertical="center"/>
      <protection locked="0"/>
    </xf>
    <xf numFmtId="0" fontId="0" fillId="0" borderId="11" xfId="0" applyBorder="1" applyAlignment="1">
      <alignment horizontal="center" vertical="center" wrapText="1"/>
    </xf>
    <xf numFmtId="0" fontId="3" fillId="8" borderId="34" xfId="0" applyFont="1" applyFill="1" applyBorder="1" applyAlignment="1" applyProtection="1">
      <alignment horizontal="center" vertical="center" wrapText="1"/>
      <protection locked="0"/>
    </xf>
    <xf numFmtId="0" fontId="3" fillId="8" borderId="109" xfId="0" applyFont="1" applyFill="1" applyBorder="1" applyAlignment="1" applyProtection="1">
      <alignment horizontal="center" vertical="center" wrapText="1"/>
      <protection locked="0"/>
    </xf>
    <xf numFmtId="44" fontId="28" fillId="0" borderId="107" xfId="1" applyFont="1" applyFill="1" applyBorder="1" applyAlignment="1" applyProtection="1">
      <alignment horizontal="center" vertical="center"/>
    </xf>
    <xf numFmtId="44" fontId="28" fillId="0" borderId="108" xfId="1" applyFont="1" applyFill="1" applyBorder="1" applyAlignment="1" applyProtection="1">
      <alignment horizontal="center" vertical="center"/>
    </xf>
    <xf numFmtId="0" fontId="6" fillId="0" borderId="9" xfId="0" applyFont="1" applyBorder="1" applyAlignment="1">
      <alignment horizontal="center" vertical="center" wrapText="1"/>
    </xf>
    <xf numFmtId="0" fontId="0" fillId="0" borderId="75" xfId="0" applyBorder="1" applyAlignment="1">
      <alignment horizontal="center" vertical="center" wrapText="1"/>
    </xf>
    <xf numFmtId="0" fontId="3" fillId="8" borderId="69" xfId="0" applyFont="1" applyFill="1" applyBorder="1" applyAlignment="1" applyProtection="1">
      <alignment horizontal="center" vertical="center" wrapText="1"/>
      <protection locked="0"/>
    </xf>
    <xf numFmtId="44" fontId="28" fillId="0" borderId="106" xfId="1" applyFont="1" applyFill="1" applyBorder="1" applyAlignment="1" applyProtection="1">
      <alignment horizontal="center" vertical="center"/>
    </xf>
    <xf numFmtId="44" fontId="6" fillId="8" borderId="75" xfId="1" applyFont="1" applyFill="1" applyBorder="1" applyAlignment="1" applyProtection="1">
      <alignment horizontal="center" vertical="center"/>
      <protection locked="0"/>
    </xf>
    <xf numFmtId="164" fontId="6" fillId="0" borderId="75" xfId="1" applyNumberFormat="1" applyFont="1" applyBorder="1" applyAlignment="1" applyProtection="1">
      <alignment horizontal="center" vertical="center"/>
    </xf>
    <xf numFmtId="165" fontId="0" fillId="0" borderId="75" xfId="2" applyNumberFormat="1" applyFont="1" applyBorder="1" applyAlignment="1" applyProtection="1">
      <alignment horizontal="center" vertical="center"/>
    </xf>
    <xf numFmtId="165" fontId="0" fillId="0" borderId="11" xfId="2" applyNumberFormat="1" applyFont="1" applyBorder="1" applyAlignment="1" applyProtection="1">
      <alignment horizontal="center" vertical="center"/>
    </xf>
    <xf numFmtId="165" fontId="0" fillId="0" borderId="110" xfId="2" applyNumberFormat="1" applyFont="1" applyBorder="1" applyAlignment="1" applyProtection="1">
      <alignment horizontal="center" vertical="center"/>
    </xf>
    <xf numFmtId="0" fontId="30" fillId="8" borderId="34" xfId="0" applyFont="1" applyFill="1" applyBorder="1" applyAlignment="1" applyProtection="1">
      <alignment horizontal="center" vertical="center" wrapText="1"/>
      <protection locked="0"/>
    </xf>
    <xf numFmtId="0" fontId="30" fillId="8" borderId="109" xfId="0" applyFont="1" applyFill="1" applyBorder="1" applyAlignment="1" applyProtection="1">
      <alignment horizontal="center" vertical="center" wrapText="1"/>
      <protection locked="0"/>
    </xf>
    <xf numFmtId="0" fontId="11" fillId="9" borderId="11" xfId="0" applyFont="1" applyFill="1" applyBorder="1" applyAlignment="1">
      <alignment horizontal="left" vertical="center" wrapText="1"/>
    </xf>
    <xf numFmtId="0" fontId="11" fillId="9" borderId="110" xfId="0" applyFont="1" applyFill="1" applyBorder="1" applyAlignment="1">
      <alignment horizontal="left" vertical="center" wrapText="1"/>
    </xf>
    <xf numFmtId="44" fontId="6" fillId="8" borderId="11" xfId="1" applyFont="1" applyFill="1" applyBorder="1" applyAlignment="1" applyProtection="1">
      <alignment horizontal="center" vertical="center"/>
      <protection locked="0"/>
    </xf>
    <xf numFmtId="44" fontId="6" fillId="8" borderId="110" xfId="1" applyFont="1" applyFill="1" applyBorder="1" applyAlignment="1" applyProtection="1">
      <alignment horizontal="center" vertical="center"/>
      <protection locked="0"/>
    </xf>
    <xf numFmtId="164" fontId="6" fillId="0" borderId="11" xfId="1" applyNumberFormat="1" applyFont="1" applyBorder="1" applyAlignment="1" applyProtection="1">
      <alignment horizontal="center" vertical="center"/>
    </xf>
    <xf numFmtId="164" fontId="6" fillId="0" borderId="110" xfId="1" applyNumberFormat="1" applyFont="1" applyBorder="1" applyAlignment="1" applyProtection="1">
      <alignment horizontal="center" vertical="center"/>
    </xf>
    <xf numFmtId="0" fontId="0" fillId="8" borderId="13" xfId="0" applyFill="1" applyBorder="1" applyAlignment="1" applyProtection="1">
      <alignment horizontal="center" vertical="center" wrapText="1"/>
      <protection locked="0"/>
    </xf>
    <xf numFmtId="0" fontId="0" fillId="8" borderId="15" xfId="0" applyFill="1" applyBorder="1" applyAlignment="1" applyProtection="1">
      <alignment horizontal="center" vertical="center" wrapText="1"/>
      <protection locked="0"/>
    </xf>
    <xf numFmtId="0" fontId="0" fillId="8" borderId="13" xfId="0" applyFill="1" applyBorder="1" applyAlignment="1" applyProtection="1">
      <alignment horizontal="center" vertical="center"/>
      <protection locked="0"/>
    </xf>
    <xf numFmtId="0" fontId="0" fillId="8" borderId="15" xfId="0" applyFill="1" applyBorder="1" applyAlignment="1" applyProtection="1">
      <alignment horizontal="center" vertical="center"/>
      <protection locked="0"/>
    </xf>
    <xf numFmtId="0" fontId="4" fillId="0" borderId="37" xfId="0" applyFont="1" applyBorder="1" applyAlignment="1" applyProtection="1">
      <alignment horizontal="left" vertical="center" wrapText="1"/>
    </xf>
    <xf numFmtId="0" fontId="4" fillId="0" borderId="63" xfId="0" applyFont="1" applyBorder="1" applyAlignment="1" applyProtection="1">
      <alignment horizontal="left" vertical="center" wrapText="1"/>
    </xf>
    <xf numFmtId="0" fontId="4" fillId="0" borderId="73" xfId="0" applyFont="1" applyBorder="1" applyAlignment="1" applyProtection="1">
      <alignment horizontal="left" vertical="center" wrapText="1"/>
    </xf>
    <xf numFmtId="0" fontId="0" fillId="2" borderId="16" xfId="0" applyFill="1" applyBorder="1" applyAlignment="1" applyProtection="1">
      <alignment horizontal="center"/>
    </xf>
    <xf numFmtId="0" fontId="0" fillId="2" borderId="17" xfId="0" applyFill="1" applyBorder="1" applyAlignment="1" applyProtection="1">
      <alignment horizontal="center"/>
    </xf>
    <xf numFmtId="0" fontId="0" fillId="0" borderId="17" xfId="0" applyBorder="1" applyAlignment="1" applyProtection="1">
      <alignment horizontal="left" vertical="center"/>
    </xf>
    <xf numFmtId="0" fontId="0" fillId="0" borderId="24" xfId="0" applyBorder="1" applyAlignment="1" applyProtection="1">
      <alignment horizontal="left" vertical="center"/>
    </xf>
    <xf numFmtId="0" fontId="0" fillId="0" borderId="21" xfId="0" applyBorder="1" applyAlignment="1" applyProtection="1">
      <alignment horizontal="left" vertical="center"/>
    </xf>
    <xf numFmtId="0" fontId="0" fillId="0" borderId="28" xfId="0" applyBorder="1" applyAlignment="1" applyProtection="1">
      <alignment horizontal="left" vertical="center"/>
    </xf>
    <xf numFmtId="0" fontId="0" fillId="0" borderId="21" xfId="0" applyFill="1" applyBorder="1" applyAlignment="1" applyProtection="1">
      <alignment horizontal="left" wrapText="1"/>
      <protection locked="0"/>
    </xf>
    <xf numFmtId="0" fontId="0" fillId="0" borderId="28" xfId="0" applyFill="1" applyBorder="1" applyAlignment="1" applyProtection="1">
      <alignment horizontal="left" wrapText="1"/>
      <protection locked="0"/>
    </xf>
    <xf numFmtId="0" fontId="0" fillId="0" borderId="1" xfId="0" applyFont="1" applyBorder="1" applyAlignment="1" applyProtection="1">
      <alignment horizontal="left" vertical="center" wrapText="1"/>
    </xf>
    <xf numFmtId="0" fontId="0" fillId="0" borderId="2" xfId="0" applyBorder="1" applyAlignment="1" applyProtection="1">
      <alignment horizontal="left" vertical="center" wrapText="1"/>
    </xf>
    <xf numFmtId="0" fontId="0" fillId="0" borderId="3" xfId="0" applyBorder="1" applyAlignment="1" applyProtection="1">
      <alignment horizontal="left" vertical="center" wrapText="1"/>
    </xf>
    <xf numFmtId="0" fontId="0" fillId="0" borderId="4" xfId="0" applyBorder="1" applyAlignment="1" applyProtection="1">
      <alignment horizontal="left" vertical="center" wrapText="1"/>
    </xf>
    <xf numFmtId="0" fontId="0" fillId="0" borderId="0" xfId="0" applyBorder="1" applyAlignment="1" applyProtection="1">
      <alignment horizontal="left" vertical="center" wrapText="1"/>
    </xf>
    <xf numFmtId="0" fontId="0" fillId="0" borderId="5" xfId="0" applyBorder="1" applyAlignment="1" applyProtection="1">
      <alignment horizontal="left" vertical="center" wrapText="1"/>
    </xf>
    <xf numFmtId="0" fontId="0" fillId="0" borderId="6" xfId="0" applyBorder="1" applyAlignment="1" applyProtection="1">
      <alignment horizontal="left" vertical="center" wrapText="1"/>
    </xf>
    <xf numFmtId="0" fontId="0" fillId="0" borderId="7" xfId="0" applyBorder="1" applyAlignment="1" applyProtection="1">
      <alignment horizontal="left" vertical="center" wrapText="1"/>
    </xf>
    <xf numFmtId="0" fontId="0" fillId="0" borderId="8" xfId="0" applyBorder="1" applyAlignment="1" applyProtection="1">
      <alignment horizontal="left" vertical="center" wrapText="1"/>
    </xf>
    <xf numFmtId="0" fontId="14" fillId="0" borderId="9" xfId="0" applyFont="1" applyFill="1" applyBorder="1" applyAlignment="1" applyProtection="1">
      <alignment horizontal="center" vertical="center" wrapText="1"/>
    </xf>
    <xf numFmtId="0" fontId="14" fillId="0" borderId="12" xfId="0" applyFont="1" applyFill="1" applyBorder="1" applyAlignment="1" applyProtection="1">
      <alignment horizontal="center" vertical="center" wrapText="1"/>
    </xf>
    <xf numFmtId="0" fontId="3" fillId="0" borderId="61" xfId="0" applyFont="1" applyBorder="1" applyAlignment="1" applyProtection="1">
      <alignment horizontal="center" vertical="center" wrapText="1"/>
    </xf>
    <xf numFmtId="0" fontId="22" fillId="11" borderId="79" xfId="0" applyFont="1" applyFill="1" applyBorder="1" applyAlignment="1" applyProtection="1">
      <alignment horizontal="center" vertical="center"/>
    </xf>
    <xf numFmtId="0" fontId="22" fillId="11" borderId="80" xfId="0" applyFont="1" applyFill="1" applyBorder="1" applyAlignment="1" applyProtection="1">
      <alignment horizontal="center" vertical="center"/>
    </xf>
    <xf numFmtId="0" fontId="4" fillId="0" borderId="2" xfId="0" applyFont="1" applyFill="1" applyBorder="1" applyAlignment="1" applyProtection="1">
      <alignment horizontal="left" vertical="center" wrapText="1"/>
    </xf>
    <xf numFmtId="0" fontId="4" fillId="0" borderId="3" xfId="0" applyFont="1" applyFill="1" applyBorder="1" applyAlignment="1" applyProtection="1">
      <alignment horizontal="left" vertical="center" wrapText="1"/>
    </xf>
    <xf numFmtId="0" fontId="4" fillId="0" borderId="0" xfId="0" applyFont="1" applyFill="1" applyBorder="1" applyAlignment="1" applyProtection="1">
      <alignment horizontal="left" vertical="center" wrapText="1"/>
    </xf>
    <xf numFmtId="0" fontId="4" fillId="0" borderId="5" xfId="0" applyFont="1" applyFill="1" applyBorder="1" applyAlignment="1" applyProtection="1">
      <alignment horizontal="left" vertical="center" wrapText="1"/>
    </xf>
    <xf numFmtId="0" fontId="20" fillId="0" borderId="1" xfId="0" applyFont="1" applyBorder="1" applyAlignment="1" applyProtection="1">
      <alignment horizontal="center" vertical="center"/>
    </xf>
    <xf numFmtId="0" fontId="20" fillId="0" borderId="2" xfId="0" applyFont="1" applyBorder="1" applyAlignment="1" applyProtection="1">
      <alignment horizontal="center" vertical="center"/>
    </xf>
    <xf numFmtId="0" fontId="20" fillId="0" borderId="3" xfId="0" applyFont="1" applyBorder="1" applyAlignment="1" applyProtection="1">
      <alignment horizontal="center" vertical="center"/>
    </xf>
    <xf numFmtId="0" fontId="6" fillId="0" borderId="1" xfId="0" applyFont="1" applyBorder="1" applyAlignment="1" applyProtection="1">
      <alignment horizontal="left" vertical="center" wrapText="1"/>
    </xf>
    <xf numFmtId="0" fontId="6" fillId="0" borderId="2" xfId="0" applyFont="1" applyBorder="1" applyAlignment="1" applyProtection="1">
      <alignment horizontal="left" vertical="center" wrapText="1"/>
    </xf>
    <xf numFmtId="0" fontId="6" fillId="0" borderId="3" xfId="0" applyFont="1" applyBorder="1" applyAlignment="1" applyProtection="1">
      <alignment horizontal="left" vertical="center" wrapText="1"/>
    </xf>
    <xf numFmtId="0" fontId="6" fillId="0" borderId="6" xfId="0" applyFont="1" applyBorder="1" applyAlignment="1" applyProtection="1">
      <alignment horizontal="left" vertical="center" wrapText="1"/>
    </xf>
    <xf numFmtId="0" fontId="6" fillId="0" borderId="7" xfId="0" applyFont="1" applyBorder="1" applyAlignment="1" applyProtection="1">
      <alignment horizontal="left" vertical="center" wrapText="1"/>
    </xf>
    <xf numFmtId="0" fontId="6" fillId="0" borderId="8" xfId="0" applyFont="1" applyBorder="1" applyAlignment="1" applyProtection="1">
      <alignment horizontal="left" vertical="center" wrapText="1"/>
    </xf>
    <xf numFmtId="0" fontId="0" fillId="0" borderId="17" xfId="0" applyFill="1" applyBorder="1" applyAlignment="1" applyProtection="1">
      <alignment horizontal="left" wrapText="1"/>
      <protection locked="0"/>
    </xf>
    <xf numFmtId="0" fontId="0" fillId="0" borderId="24" xfId="0" applyFill="1" applyBorder="1" applyAlignment="1" applyProtection="1">
      <alignment horizontal="left" wrapText="1"/>
      <protection locked="0"/>
    </xf>
    <xf numFmtId="0" fontId="6" fillId="0" borderId="1" xfId="0" applyFont="1" applyBorder="1" applyAlignment="1" applyProtection="1">
      <alignment horizontal="center" vertical="center" wrapText="1"/>
    </xf>
    <xf numFmtId="0" fontId="6" fillId="0" borderId="2" xfId="0" applyFont="1" applyBorder="1" applyAlignment="1" applyProtection="1">
      <alignment horizontal="center" vertical="center" wrapText="1"/>
    </xf>
    <xf numFmtId="0" fontId="6" fillId="0" borderId="3"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5" xfId="0" applyFont="1" applyBorder="1" applyAlignment="1" applyProtection="1">
      <alignment horizontal="center" vertical="center" wrapText="1"/>
    </xf>
    <xf numFmtId="0" fontId="6" fillId="0" borderId="6" xfId="0" applyFont="1" applyBorder="1" applyAlignment="1" applyProtection="1">
      <alignment horizontal="center" vertical="center" wrapText="1"/>
    </xf>
    <xf numFmtId="0" fontId="6" fillId="0" borderId="7" xfId="0" applyFont="1" applyBorder="1" applyAlignment="1" applyProtection="1">
      <alignment horizontal="center" vertical="center" wrapText="1"/>
    </xf>
    <xf numFmtId="0" fontId="6" fillId="0" borderId="8" xfId="0" applyFont="1" applyBorder="1" applyAlignment="1" applyProtection="1">
      <alignment horizontal="center" vertical="center" wrapText="1"/>
    </xf>
    <xf numFmtId="0" fontId="20" fillId="0" borderId="31" xfId="0" applyFont="1" applyBorder="1" applyAlignment="1" applyProtection="1">
      <alignment horizontal="center" vertical="center" wrapText="1"/>
    </xf>
    <xf numFmtId="0" fontId="20" fillId="0" borderId="33" xfId="0" applyFont="1" applyBorder="1" applyAlignment="1" applyProtection="1">
      <alignment horizontal="center" vertical="center" wrapText="1"/>
    </xf>
    <xf numFmtId="0" fontId="44" fillId="11" borderId="50" xfId="0" applyFont="1" applyFill="1" applyBorder="1" applyAlignment="1" applyProtection="1">
      <alignment horizontal="center" vertical="center"/>
    </xf>
    <xf numFmtId="0" fontId="44" fillId="11" borderId="63" xfId="0" applyFont="1" applyFill="1" applyBorder="1" applyAlignment="1" applyProtection="1">
      <alignment horizontal="center" vertical="center"/>
    </xf>
    <xf numFmtId="0" fontId="44" fillId="11" borderId="73" xfId="0" applyFont="1" applyFill="1" applyBorder="1" applyAlignment="1" applyProtection="1">
      <alignment horizontal="center" vertical="center"/>
    </xf>
    <xf numFmtId="0" fontId="0" fillId="0" borderId="19" xfId="0" applyFill="1" applyBorder="1" applyAlignment="1" applyProtection="1">
      <alignment horizontal="left" wrapText="1"/>
      <protection locked="0"/>
    </xf>
    <xf numFmtId="0" fontId="0" fillId="0" borderId="27" xfId="0" applyFill="1" applyBorder="1" applyAlignment="1" applyProtection="1">
      <alignment horizontal="left" wrapText="1"/>
      <protection locked="0"/>
    </xf>
    <xf numFmtId="0" fontId="6" fillId="8" borderId="0" xfId="0" applyFont="1" applyFill="1" applyBorder="1" applyAlignment="1" applyProtection="1">
      <alignment horizontal="left" vertical="center" wrapText="1"/>
      <protection locked="0"/>
    </xf>
    <xf numFmtId="0" fontId="0" fillId="0" borderId="23" xfId="0" applyFill="1" applyBorder="1" applyAlignment="1" applyProtection="1">
      <alignment horizontal="left" wrapText="1"/>
      <protection locked="0"/>
    </xf>
    <xf numFmtId="0" fontId="0" fillId="0" borderId="74" xfId="0" applyFill="1" applyBorder="1" applyAlignment="1" applyProtection="1">
      <alignment horizontal="left" wrapText="1"/>
      <protection locked="0"/>
    </xf>
    <xf numFmtId="0" fontId="0" fillId="0" borderId="25" xfId="0" applyFill="1" applyBorder="1" applyAlignment="1" applyProtection="1">
      <alignment horizontal="left" wrapText="1"/>
      <protection locked="0"/>
    </xf>
    <xf numFmtId="0" fontId="4" fillId="0" borderId="9" xfId="0" applyFont="1" applyBorder="1" applyAlignment="1" applyProtection="1">
      <alignment horizontal="center" vertical="center" wrapText="1"/>
    </xf>
    <xf numFmtId="0" fontId="4" fillId="0" borderId="11" xfId="0" applyFont="1" applyBorder="1" applyAlignment="1" applyProtection="1">
      <alignment horizontal="center" vertical="center" wrapText="1"/>
    </xf>
    <xf numFmtId="0" fontId="4" fillId="0" borderId="12" xfId="0" applyFont="1" applyBorder="1" applyAlignment="1" applyProtection="1">
      <alignment horizontal="center" vertical="center" wrapText="1"/>
    </xf>
    <xf numFmtId="0" fontId="14" fillId="0" borderId="11"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2" xfId="0" applyFont="1" applyFill="1" applyBorder="1" applyAlignment="1" applyProtection="1">
      <alignment horizontal="center" vertical="center" wrapText="1"/>
    </xf>
    <xf numFmtId="0" fontId="0" fillId="0" borderId="32" xfId="0" applyBorder="1" applyAlignment="1" applyProtection="1">
      <alignment horizontal="center"/>
    </xf>
    <xf numFmtId="0" fontId="0" fillId="0" borderId="23" xfId="0" applyBorder="1" applyAlignment="1" applyProtection="1">
      <alignment horizontal="left" vertical="center" wrapText="1"/>
    </xf>
    <xf numFmtId="0" fontId="0" fillId="0" borderId="74" xfId="0" applyBorder="1" applyAlignment="1" applyProtection="1">
      <alignment horizontal="left" vertical="center" wrapText="1"/>
    </xf>
    <xf numFmtId="0" fontId="0" fillId="0" borderId="25" xfId="0" applyBorder="1" applyAlignment="1" applyProtection="1">
      <alignment horizontal="left" vertical="center" wrapText="1"/>
    </xf>
    <xf numFmtId="0" fontId="0" fillId="0" borderId="23" xfId="0" applyBorder="1" applyAlignment="1" applyProtection="1">
      <alignment horizontal="left" wrapText="1"/>
    </xf>
    <xf numFmtId="0" fontId="0" fillId="0" borderId="74" xfId="0" applyBorder="1" applyAlignment="1" applyProtection="1">
      <alignment horizontal="left" wrapText="1"/>
    </xf>
    <xf numFmtId="0" fontId="0" fillId="0" borderId="25" xfId="0" applyBorder="1" applyAlignment="1" applyProtection="1">
      <alignment horizontal="left" wrapText="1"/>
    </xf>
    <xf numFmtId="0" fontId="0" fillId="0" borderId="21" xfId="0" applyFill="1" applyBorder="1" applyAlignment="1" applyProtection="1">
      <alignment horizontal="left" wrapText="1"/>
    </xf>
    <xf numFmtId="0" fontId="0" fillId="0" borderId="28" xfId="0" applyFill="1" applyBorder="1" applyAlignment="1" applyProtection="1">
      <alignment horizontal="left" wrapText="1"/>
    </xf>
    <xf numFmtId="0" fontId="22" fillId="11" borderId="26" xfId="0" applyFont="1" applyFill="1" applyBorder="1" applyAlignment="1" applyProtection="1">
      <alignment horizontal="center" vertical="center"/>
    </xf>
    <xf numFmtId="0" fontId="4" fillId="0" borderId="1" xfId="0" applyFont="1" applyFill="1" applyBorder="1" applyAlignment="1" applyProtection="1">
      <alignment horizontal="left" vertical="center" wrapText="1"/>
    </xf>
    <xf numFmtId="0" fontId="4" fillId="0" borderId="6" xfId="0" applyFont="1" applyFill="1" applyBorder="1" applyAlignment="1" applyProtection="1">
      <alignment horizontal="left" vertical="center" wrapText="1"/>
    </xf>
    <xf numFmtId="0" fontId="4" fillId="0" borderId="7" xfId="0" applyFont="1" applyFill="1" applyBorder="1" applyAlignment="1" applyProtection="1">
      <alignment horizontal="left" vertical="center" wrapText="1"/>
    </xf>
    <xf numFmtId="0" fontId="4" fillId="0" borderId="8" xfId="0" applyFont="1" applyFill="1" applyBorder="1" applyAlignment="1" applyProtection="1">
      <alignment horizontal="left" vertical="center" wrapText="1"/>
    </xf>
    <xf numFmtId="0" fontId="0" fillId="0" borderId="37" xfId="0" applyBorder="1" applyAlignment="1" applyProtection="1">
      <alignment horizontal="left" vertical="center"/>
    </xf>
    <xf numFmtId="0" fontId="0" fillId="0" borderId="63" xfId="0" applyBorder="1" applyAlignment="1" applyProtection="1">
      <alignment horizontal="left" vertical="center"/>
    </xf>
    <xf numFmtId="0" fontId="0" fillId="0" borderId="73" xfId="0" applyBorder="1" applyAlignment="1" applyProtection="1">
      <alignment horizontal="left" vertical="center"/>
    </xf>
    <xf numFmtId="0" fontId="6" fillId="11" borderId="31" xfId="0" applyFont="1" applyFill="1" applyBorder="1" applyAlignment="1" applyProtection="1">
      <alignment horizontal="center" vertical="center" wrapText="1"/>
    </xf>
    <xf numFmtId="0" fontId="0" fillId="11" borderId="32" xfId="0" applyFill="1" applyBorder="1" applyAlignment="1" applyProtection="1">
      <alignment horizontal="center" vertical="center" wrapText="1"/>
    </xf>
    <xf numFmtId="0" fontId="0" fillId="11" borderId="33" xfId="0" applyFill="1" applyBorder="1" applyAlignment="1" applyProtection="1">
      <alignment horizontal="center" vertical="center" wrapText="1"/>
    </xf>
    <xf numFmtId="0" fontId="0" fillId="0" borderId="12" xfId="0" applyFill="1" applyBorder="1" applyAlignment="1" applyProtection="1">
      <alignment horizontal="center" vertical="center" wrapText="1"/>
    </xf>
    <xf numFmtId="0" fontId="4" fillId="0" borderId="1" xfId="0" applyFont="1" applyBorder="1" applyAlignment="1" applyProtection="1">
      <alignment horizontal="left" vertical="center" wrapText="1"/>
    </xf>
    <xf numFmtId="0" fontId="4" fillId="0" borderId="10" xfId="0" applyFont="1" applyBorder="1" applyAlignment="1">
      <alignment horizontal="center" vertical="center" wrapText="1"/>
    </xf>
    <xf numFmtId="0" fontId="4" fillId="0" borderId="9" xfId="0" applyFont="1" applyFill="1" applyBorder="1" applyAlignment="1">
      <alignment horizontal="center" vertical="center" wrapText="1"/>
    </xf>
    <xf numFmtId="0" fontId="0" fillId="0" borderId="12" xfId="0" applyFill="1" applyBorder="1" applyAlignment="1">
      <alignment horizontal="center" vertical="center" wrapText="1"/>
    </xf>
    <xf numFmtId="0" fontId="4" fillId="0" borderId="37" xfId="0" applyFont="1" applyBorder="1" applyAlignment="1" applyProtection="1">
      <alignment horizontal="left" vertical="center"/>
    </xf>
    <xf numFmtId="0" fontId="4" fillId="0" borderId="63" xfId="0" applyFont="1" applyBorder="1" applyAlignment="1" applyProtection="1">
      <alignment horizontal="left" vertical="center"/>
    </xf>
    <xf numFmtId="0" fontId="4" fillId="0" borderId="73" xfId="0" applyFont="1" applyBorder="1" applyAlignment="1" applyProtection="1">
      <alignment horizontal="left" vertical="center"/>
    </xf>
    <xf numFmtId="0" fontId="4" fillId="0" borderId="22" xfId="0" applyFont="1" applyBorder="1" applyAlignment="1" applyProtection="1">
      <alignment horizontal="center" vertical="center" wrapText="1"/>
    </xf>
    <xf numFmtId="0" fontId="4" fillId="0" borderId="34" xfId="0" applyFont="1" applyBorder="1" applyAlignment="1" applyProtection="1">
      <alignment horizontal="center" vertical="center" wrapText="1"/>
    </xf>
    <xf numFmtId="0" fontId="4" fillId="0" borderId="46" xfId="0" applyFont="1" applyBorder="1" applyAlignment="1" applyProtection="1">
      <alignment horizontal="center" vertical="center" wrapText="1"/>
    </xf>
    <xf numFmtId="0" fontId="4" fillId="0" borderId="32" xfId="0" applyFont="1" applyBorder="1" applyAlignment="1" applyProtection="1">
      <alignment horizontal="left" vertical="center" wrapText="1"/>
    </xf>
    <xf numFmtId="0" fontId="4" fillId="0" borderId="33" xfId="0" applyFont="1" applyBorder="1" applyAlignment="1" applyProtection="1">
      <alignment horizontal="left" vertical="center" wrapText="1"/>
    </xf>
    <xf numFmtId="0" fontId="6" fillId="8" borderId="13" xfId="0" applyFont="1" applyFill="1" applyBorder="1" applyAlignment="1" applyProtection="1">
      <alignment horizontal="center" vertical="center" wrapText="1"/>
      <protection locked="0"/>
    </xf>
    <xf numFmtId="0" fontId="6" fillId="8" borderId="15" xfId="0" applyFont="1" applyFill="1" applyBorder="1" applyAlignment="1" applyProtection="1">
      <alignment horizontal="center" vertical="center" wrapText="1"/>
      <protection locked="0"/>
    </xf>
    <xf numFmtId="0" fontId="4" fillId="0" borderId="87" xfId="0" applyFont="1" applyBorder="1" applyAlignment="1" applyProtection="1">
      <alignment horizontal="center" vertical="center" wrapText="1"/>
    </xf>
    <xf numFmtId="0" fontId="4" fillId="0" borderId="32" xfId="0" applyFont="1" applyBorder="1" applyAlignment="1" applyProtection="1">
      <alignment horizontal="center" vertical="center" wrapText="1"/>
    </xf>
    <xf numFmtId="0" fontId="4" fillId="0" borderId="33" xfId="0" applyFont="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1" xfId="0" applyFont="1" applyBorder="1" applyAlignment="1">
      <alignment horizontal="left" vertical="center" wrapText="1"/>
    </xf>
    <xf numFmtId="0" fontId="4" fillId="0" borderId="32" xfId="0" applyFont="1" applyBorder="1" applyAlignment="1">
      <alignment horizontal="left" vertical="center" wrapText="1"/>
    </xf>
    <xf numFmtId="0" fontId="4" fillId="0" borderId="33" xfId="0" applyFont="1" applyBorder="1" applyAlignment="1">
      <alignment horizontal="left"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4"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12" fillId="8" borderId="13" xfId="0" applyFont="1" applyFill="1" applyBorder="1" applyAlignment="1" applyProtection="1">
      <alignment horizontal="center" vertical="center" wrapText="1"/>
      <protection locked="0"/>
    </xf>
    <xf numFmtId="0" fontId="12" fillId="8" borderId="15" xfId="0" applyFont="1" applyFill="1" applyBorder="1" applyAlignment="1" applyProtection="1">
      <alignment horizontal="center" vertical="center" wrapText="1"/>
      <protection locked="0"/>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4" fillId="0" borderId="50"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73" xfId="0" applyFont="1" applyBorder="1" applyAlignment="1">
      <alignment horizontal="center" vertical="center" wrapText="1"/>
    </xf>
    <xf numFmtId="0" fontId="0" fillId="0" borderId="37" xfId="0" applyBorder="1" applyAlignment="1" applyProtection="1">
      <alignment horizontal="left" vertical="center"/>
      <protection locked="0"/>
    </xf>
    <xf numFmtId="0" fontId="0" fillId="0" borderId="63" xfId="0" applyBorder="1" applyAlignment="1" applyProtection="1">
      <alignment horizontal="left" vertical="center"/>
      <protection locked="0"/>
    </xf>
    <xf numFmtId="0" fontId="0" fillId="0" borderId="73" xfId="0" applyBorder="1" applyAlignment="1" applyProtection="1">
      <alignment horizontal="left" vertical="center"/>
      <protection locked="0"/>
    </xf>
    <xf numFmtId="0" fontId="0" fillId="0" borderId="23" xfId="0" applyBorder="1" applyAlignment="1" applyProtection="1">
      <alignment horizontal="left" vertical="center" wrapText="1"/>
      <protection locked="0"/>
    </xf>
    <xf numFmtId="0" fontId="0" fillId="0" borderId="74" xfId="0" applyBorder="1" applyAlignment="1" applyProtection="1">
      <alignment horizontal="left" vertical="center" wrapText="1"/>
      <protection locked="0"/>
    </xf>
    <xf numFmtId="0" fontId="0" fillId="0" borderId="25" xfId="0" applyBorder="1" applyAlignment="1" applyProtection="1">
      <alignment horizontal="left" vertical="center" wrapText="1"/>
      <protection locked="0"/>
    </xf>
    <xf numFmtId="0" fontId="0" fillId="0" borderId="23" xfId="0" applyBorder="1" applyAlignment="1" applyProtection="1">
      <alignment horizontal="left" wrapText="1"/>
      <protection locked="0"/>
    </xf>
    <xf numFmtId="0" fontId="0" fillId="0" borderId="74" xfId="0" applyBorder="1" applyAlignment="1" applyProtection="1">
      <alignment horizontal="left" wrapText="1"/>
      <protection locked="0"/>
    </xf>
    <xf numFmtId="0" fontId="0" fillId="0" borderId="25" xfId="0" applyBorder="1" applyAlignment="1" applyProtection="1">
      <alignment horizontal="left" wrapText="1"/>
      <protection locked="0"/>
    </xf>
    <xf numFmtId="0" fontId="7" fillId="0" borderId="31" xfId="0" applyFont="1" applyBorder="1" applyAlignment="1" applyProtection="1">
      <alignment horizontal="center" vertical="center" wrapText="1"/>
    </xf>
    <xf numFmtId="0" fontId="7" fillId="0" borderId="33" xfId="0" applyFont="1" applyBorder="1" applyAlignment="1" applyProtection="1">
      <alignment horizontal="center" vertical="center" wrapText="1"/>
    </xf>
    <xf numFmtId="0" fontId="45" fillId="11" borderId="50" xfId="0" applyFont="1" applyFill="1" applyBorder="1" applyAlignment="1" applyProtection="1">
      <alignment horizontal="center" vertical="center" wrapText="1"/>
    </xf>
    <xf numFmtId="0" fontId="45" fillId="11" borderId="63" xfId="0" applyFont="1" applyFill="1" applyBorder="1" applyAlignment="1" applyProtection="1">
      <alignment horizontal="center" vertical="center" wrapText="1"/>
    </xf>
    <xf numFmtId="0" fontId="45" fillId="11" borderId="73" xfId="0" applyFont="1" applyFill="1" applyBorder="1" applyAlignment="1" applyProtection="1">
      <alignment horizontal="center" vertical="center" wrapText="1"/>
    </xf>
    <xf numFmtId="0" fontId="52" fillId="3" borderId="1" xfId="0" applyFont="1" applyFill="1" applyBorder="1" applyAlignment="1" applyProtection="1">
      <alignment horizontal="center" vertical="center" wrapText="1"/>
    </xf>
    <xf numFmtId="0" fontId="31" fillId="3" borderId="2" xfId="0" applyFont="1" applyFill="1" applyBorder="1" applyAlignment="1" applyProtection="1">
      <alignment horizontal="center" vertical="center" wrapText="1"/>
    </xf>
    <xf numFmtId="0" fontId="31" fillId="3" borderId="3" xfId="0" applyFont="1" applyFill="1" applyBorder="1" applyAlignment="1" applyProtection="1">
      <alignment horizontal="center" vertical="center" wrapText="1"/>
    </xf>
    <xf numFmtId="0" fontId="31" fillId="3" borderId="4" xfId="0" applyFont="1" applyFill="1" applyBorder="1" applyAlignment="1" applyProtection="1">
      <alignment horizontal="center" vertical="center" wrapText="1"/>
    </xf>
    <xf numFmtId="0" fontId="31" fillId="3" borderId="0" xfId="0" applyFont="1" applyFill="1" applyBorder="1" applyAlignment="1" applyProtection="1">
      <alignment horizontal="center" vertical="center" wrapText="1"/>
    </xf>
    <xf numFmtId="0" fontId="31" fillId="3" borderId="5" xfId="0" applyFont="1" applyFill="1" applyBorder="1" applyAlignment="1" applyProtection="1">
      <alignment horizontal="center" vertical="center" wrapText="1"/>
    </xf>
    <xf numFmtId="0" fontId="31" fillId="3" borderId="6" xfId="0" applyFont="1" applyFill="1" applyBorder="1" applyAlignment="1" applyProtection="1">
      <alignment horizontal="center" vertical="center" wrapText="1"/>
    </xf>
    <xf numFmtId="0" fontId="31" fillId="3" borderId="7" xfId="0" applyFont="1" applyFill="1" applyBorder="1" applyAlignment="1" applyProtection="1">
      <alignment horizontal="center" vertical="center" wrapText="1"/>
    </xf>
    <xf numFmtId="0" fontId="31" fillId="3" borderId="8" xfId="0" applyFont="1" applyFill="1" applyBorder="1" applyAlignment="1" applyProtection="1">
      <alignment horizontal="center" vertical="center" wrapText="1"/>
    </xf>
    <xf numFmtId="164" fontId="6" fillId="0" borderId="18" xfId="0" applyNumberFormat="1" applyFont="1" applyBorder="1" applyAlignment="1">
      <alignment horizontal="right" vertical="center"/>
    </xf>
    <xf numFmtId="164" fontId="6" fillId="0" borderId="19" xfId="0" applyNumberFormat="1" applyFont="1" applyBorder="1" applyAlignment="1">
      <alignment horizontal="right" vertical="center"/>
    </xf>
    <xf numFmtId="0" fontId="6" fillId="0" borderId="20" xfId="0" applyFont="1" applyBorder="1" applyAlignment="1">
      <alignment horizontal="right"/>
    </xf>
    <xf numFmtId="0" fontId="6" fillId="0" borderId="21" xfId="0" applyFont="1" applyBorder="1" applyAlignment="1">
      <alignment horizontal="right"/>
    </xf>
    <xf numFmtId="0" fontId="3" fillId="0" borderId="0" xfId="0" applyFont="1" applyAlignment="1">
      <alignment horizontal="left" wrapText="1"/>
    </xf>
    <xf numFmtId="0" fontId="3" fillId="0" borderId="7" xfId="0" applyFont="1" applyBorder="1" applyAlignment="1">
      <alignment horizontal="left" wrapText="1"/>
    </xf>
    <xf numFmtId="0" fontId="23" fillId="0" borderId="0" xfId="0" applyFont="1" applyAlignment="1">
      <alignment horizontal="left" wrapText="1"/>
    </xf>
    <xf numFmtId="0" fontId="23" fillId="0" borderId="7" xfId="0" applyFont="1" applyBorder="1" applyAlignment="1">
      <alignment horizontal="left" wrapText="1"/>
    </xf>
    <xf numFmtId="0" fontId="0" fillId="13" borderId="31" xfId="0" applyFill="1" applyBorder="1" applyAlignment="1">
      <alignment horizontal="center" vertical="center" wrapText="1"/>
    </xf>
    <xf numFmtId="0" fontId="0" fillId="13" borderId="32" xfId="0" applyFill="1" applyBorder="1" applyAlignment="1">
      <alignment horizontal="center" vertical="center" wrapText="1"/>
    </xf>
    <xf numFmtId="0" fontId="3" fillId="13" borderId="31" xfId="0" applyFont="1" applyFill="1" applyBorder="1" applyAlignment="1">
      <alignment horizontal="center"/>
    </xf>
    <xf numFmtId="0" fontId="3" fillId="13" borderId="32" xfId="0" applyFont="1" applyFill="1" applyBorder="1" applyAlignment="1">
      <alignment horizontal="center"/>
    </xf>
    <xf numFmtId="0" fontId="3" fillId="13" borderId="33" xfId="0" applyFont="1" applyFill="1" applyBorder="1" applyAlignment="1">
      <alignment horizontal="center"/>
    </xf>
  </cellXfs>
  <cellStyles count="4">
    <cellStyle name="Comma" xfId="3" builtinId="3"/>
    <cellStyle name="Currency" xfId="1" builtinId="4"/>
    <cellStyle name="Normal" xfId="0" builtinId="0"/>
    <cellStyle name="Percent" xfId="2"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1.xml"/><Relationship Id="rId40" Type="http://schemas.openxmlformats.org/officeDocument/2006/relationships/externalLink" Target="externalLinks/externalLink4.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2.xml"/><Relationship Id="rId46"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0</xdr:row>
      <xdr:rowOff>200024</xdr:rowOff>
    </xdr:from>
    <xdr:to>
      <xdr:col>14</xdr:col>
      <xdr:colOff>533400</xdr:colOff>
      <xdr:row>3</xdr:row>
      <xdr:rowOff>142874</xdr:rowOff>
    </xdr:to>
    <xdr:pic>
      <xdr:nvPicPr>
        <xdr:cNvPr id="4" name="Pictur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0" y="390524"/>
          <a:ext cx="2971800" cy="6953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419100</xdr:colOff>
      <xdr:row>9</xdr:row>
      <xdr:rowOff>47625</xdr:rowOff>
    </xdr:from>
    <xdr:to>
      <xdr:col>3</xdr:col>
      <xdr:colOff>219075</xdr:colOff>
      <xdr:row>11</xdr:row>
      <xdr:rowOff>114300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419100" y="1028700"/>
          <a:ext cx="1628775" cy="447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First number indicates</a:t>
          </a:r>
          <a:r>
            <a:rPr lang="en-US" sz="1100" baseline="0"/>
            <a:t> the fundamental version</a:t>
          </a:r>
          <a:endParaRPr lang="en-US" sz="1100"/>
        </a:p>
      </xdr:txBody>
    </xdr:sp>
    <xdr:clientData/>
  </xdr:twoCellAnchor>
  <xdr:twoCellAnchor>
    <xdr:from>
      <xdr:col>3</xdr:col>
      <xdr:colOff>209550</xdr:colOff>
      <xdr:row>8</xdr:row>
      <xdr:rowOff>200025</xdr:rowOff>
    </xdr:from>
    <xdr:to>
      <xdr:col>4</xdr:col>
      <xdr:colOff>123825</xdr:colOff>
      <xdr:row>9</xdr:row>
      <xdr:rowOff>28575</xdr:rowOff>
    </xdr:to>
    <xdr:cxnSp macro="">
      <xdr:nvCxnSpPr>
        <xdr:cNvPr id="4" name="Straight Arrow Connector 3">
          <a:extLst>
            <a:ext uri="{FF2B5EF4-FFF2-40B4-BE49-F238E27FC236}">
              <a16:creationId xmlns:a16="http://schemas.microsoft.com/office/drawing/2014/main" id="{00000000-0008-0000-0100-000004000000}"/>
            </a:ext>
          </a:extLst>
        </xdr:cNvPr>
        <xdr:cNvCxnSpPr/>
      </xdr:nvCxnSpPr>
      <xdr:spPr>
        <a:xfrm flipV="1">
          <a:off x="2038350" y="914400"/>
          <a:ext cx="523875" cy="95250"/>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171450</xdr:colOff>
      <xdr:row>11</xdr:row>
      <xdr:rowOff>85725</xdr:rowOff>
    </xdr:from>
    <xdr:to>
      <xdr:col>5</xdr:col>
      <xdr:colOff>485775</xdr:colOff>
      <xdr:row>16</xdr:row>
      <xdr:rowOff>142875</xdr:rowOff>
    </xdr:to>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2000250" y="1447800"/>
          <a:ext cx="1533525" cy="1009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Ist Decimal place indicates the current version .</a:t>
          </a:r>
          <a:r>
            <a:rPr lang="en-US" sz="1100" baseline="0"/>
            <a:t>   Users should always use the most recent version</a:t>
          </a:r>
        </a:p>
        <a:p>
          <a:endParaRPr lang="en-US" sz="1100"/>
        </a:p>
      </xdr:txBody>
    </xdr:sp>
    <xdr:clientData/>
  </xdr:twoCellAnchor>
  <xdr:twoCellAnchor>
    <xdr:from>
      <xdr:col>4</xdr:col>
      <xdr:colOff>328613</xdr:colOff>
      <xdr:row>8</xdr:row>
      <xdr:rowOff>238125</xdr:rowOff>
    </xdr:from>
    <xdr:to>
      <xdr:col>4</xdr:col>
      <xdr:colOff>400050</xdr:colOff>
      <xdr:row>11</xdr:row>
      <xdr:rowOff>85725</xdr:rowOff>
    </xdr:to>
    <xdr:cxnSp macro="">
      <xdr:nvCxnSpPr>
        <xdr:cNvPr id="7" name="Straight Arrow Connector 6">
          <a:extLst>
            <a:ext uri="{FF2B5EF4-FFF2-40B4-BE49-F238E27FC236}">
              <a16:creationId xmlns:a16="http://schemas.microsoft.com/office/drawing/2014/main" id="{00000000-0008-0000-0100-000007000000}"/>
            </a:ext>
          </a:extLst>
        </xdr:cNvPr>
        <xdr:cNvCxnSpPr>
          <a:stCxn id="5" idx="0"/>
        </xdr:cNvCxnSpPr>
      </xdr:nvCxnSpPr>
      <xdr:spPr>
        <a:xfrm flipV="1">
          <a:off x="2767013" y="952500"/>
          <a:ext cx="71437" cy="495300"/>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581025</xdr:colOff>
      <xdr:row>6</xdr:row>
      <xdr:rowOff>171449</xdr:rowOff>
    </xdr:from>
    <xdr:to>
      <xdr:col>7</xdr:col>
      <xdr:colOff>933450</xdr:colOff>
      <xdr:row>13</xdr:row>
      <xdr:rowOff>161925</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5524500" y="1457324"/>
          <a:ext cx="1571625" cy="14001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 second decimal place indicates a minor</a:t>
          </a:r>
          <a:r>
            <a:rPr lang="en-US" sz="1100" baseline="0"/>
            <a:t> change  and/or correction.  Changes of this type do not invalidate the version being used.</a:t>
          </a:r>
          <a:endParaRPr lang="en-US" sz="1100"/>
        </a:p>
      </xdr:txBody>
    </xdr:sp>
    <xdr:clientData/>
  </xdr:twoCellAnchor>
  <xdr:twoCellAnchor>
    <xdr:from>
      <xdr:col>5</xdr:col>
      <xdr:colOff>47625</xdr:colOff>
      <xdr:row>8</xdr:row>
      <xdr:rowOff>123825</xdr:rowOff>
    </xdr:from>
    <xdr:to>
      <xdr:col>5</xdr:col>
      <xdr:colOff>590550</xdr:colOff>
      <xdr:row>8</xdr:row>
      <xdr:rowOff>142875</xdr:rowOff>
    </xdr:to>
    <xdr:cxnSp macro="">
      <xdr:nvCxnSpPr>
        <xdr:cNvPr id="10" name="Straight Arrow Connector 9">
          <a:extLst>
            <a:ext uri="{FF2B5EF4-FFF2-40B4-BE49-F238E27FC236}">
              <a16:creationId xmlns:a16="http://schemas.microsoft.com/office/drawing/2014/main" id="{00000000-0008-0000-0100-00000A000000}"/>
            </a:ext>
          </a:extLst>
        </xdr:cNvPr>
        <xdr:cNvCxnSpPr/>
      </xdr:nvCxnSpPr>
      <xdr:spPr>
        <a:xfrm flipH="1">
          <a:off x="4343400" y="1790700"/>
          <a:ext cx="542925" cy="19050"/>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38100</xdr:colOff>
      <xdr:row>0</xdr:row>
      <xdr:rowOff>9525</xdr:rowOff>
    </xdr:from>
    <xdr:to>
      <xdr:col>3</xdr:col>
      <xdr:colOff>209550</xdr:colOff>
      <xdr:row>4</xdr:row>
      <xdr:rowOff>66675</xdr:rowOff>
    </xdr:to>
    <xdr:pic>
      <xdr:nvPicPr>
        <xdr:cNvPr id="11" name="Picture 10">
          <a:extLst>
            <a:ext uri="{FF2B5EF4-FFF2-40B4-BE49-F238E27FC236}">
              <a16:creationId xmlns:a16="http://schemas.microsoft.com/office/drawing/2014/main" id="{00000000-0008-0000-0100-00000B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9525"/>
          <a:ext cx="3609975" cy="8191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190500</xdr:colOff>
      <xdr:row>3</xdr:row>
      <xdr:rowOff>323850</xdr:rowOff>
    </xdr:to>
    <xdr:pic>
      <xdr:nvPicPr>
        <xdr:cNvPr id="5" name="Picture 4">
          <a:extLst>
            <a:ext uri="{FF2B5EF4-FFF2-40B4-BE49-F238E27FC236}">
              <a16:creationId xmlns:a16="http://schemas.microsoft.com/office/drawing/2014/main" id="{00000000-0008-0000-02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886200" cy="89535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21166</xdr:colOff>
      <xdr:row>0</xdr:row>
      <xdr:rowOff>84667</xdr:rowOff>
    </xdr:from>
    <xdr:to>
      <xdr:col>6</xdr:col>
      <xdr:colOff>232833</xdr:colOff>
      <xdr:row>2</xdr:row>
      <xdr:rowOff>95250</xdr:rowOff>
    </xdr:to>
    <xdr:pic>
      <xdr:nvPicPr>
        <xdr:cNvPr id="3" name="Picture 2">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166" y="84667"/>
          <a:ext cx="4519084" cy="106891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9</xdr:col>
      <xdr:colOff>66675</xdr:colOff>
      <xdr:row>22</xdr:row>
      <xdr:rowOff>42687</xdr:rowOff>
    </xdr:from>
    <xdr:to>
      <xdr:col>9</xdr:col>
      <xdr:colOff>295275</xdr:colOff>
      <xdr:row>22</xdr:row>
      <xdr:rowOff>243063</xdr:rowOff>
    </xdr:to>
    <xdr:cxnSp macro="">
      <xdr:nvCxnSpPr>
        <xdr:cNvPr id="2" name="Straight Connector 1">
          <a:extLst>
            <a:ext uri="{FF2B5EF4-FFF2-40B4-BE49-F238E27FC236}">
              <a16:creationId xmlns:a16="http://schemas.microsoft.com/office/drawing/2014/main" id="{80D7B3B5-060D-448F-A822-477F6D35B7E6}"/>
            </a:ext>
          </a:extLst>
        </xdr:cNvPr>
        <xdr:cNvCxnSpPr/>
      </xdr:nvCxnSpPr>
      <xdr:spPr>
        <a:xfrm flipH="1">
          <a:off x="3857625" y="4776612"/>
          <a:ext cx="228600" cy="200376"/>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38099</xdr:colOff>
      <xdr:row>22</xdr:row>
      <xdr:rowOff>38100</xdr:rowOff>
    </xdr:from>
    <xdr:to>
      <xdr:col>16</xdr:col>
      <xdr:colOff>200025</xdr:colOff>
      <xdr:row>22</xdr:row>
      <xdr:rowOff>238476</xdr:rowOff>
    </xdr:to>
    <xdr:cxnSp macro="">
      <xdr:nvCxnSpPr>
        <xdr:cNvPr id="3" name="Straight Connector 2">
          <a:extLst>
            <a:ext uri="{FF2B5EF4-FFF2-40B4-BE49-F238E27FC236}">
              <a16:creationId xmlns:a16="http://schemas.microsoft.com/office/drawing/2014/main" id="{9C90C361-DCC3-427E-8D86-F9A17547F3F8}"/>
            </a:ext>
          </a:extLst>
        </xdr:cNvPr>
        <xdr:cNvCxnSpPr/>
      </xdr:nvCxnSpPr>
      <xdr:spPr>
        <a:xfrm flipH="1">
          <a:off x="7372349" y="4772025"/>
          <a:ext cx="161926" cy="200376"/>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600075</xdr:colOff>
      <xdr:row>8</xdr:row>
      <xdr:rowOff>9525</xdr:rowOff>
    </xdr:from>
    <xdr:to>
      <xdr:col>15</xdr:col>
      <xdr:colOff>828675</xdr:colOff>
      <xdr:row>9</xdr:row>
      <xdr:rowOff>9525</xdr:rowOff>
    </xdr:to>
    <xdr:cxnSp macro="">
      <xdr:nvCxnSpPr>
        <xdr:cNvPr id="4" name="Straight Connector 3">
          <a:extLst>
            <a:ext uri="{FF2B5EF4-FFF2-40B4-BE49-F238E27FC236}">
              <a16:creationId xmlns:a16="http://schemas.microsoft.com/office/drawing/2014/main" id="{16F80414-9790-4CFF-BC61-F79579A3BDF2}"/>
            </a:ext>
          </a:extLst>
        </xdr:cNvPr>
        <xdr:cNvCxnSpPr/>
      </xdr:nvCxnSpPr>
      <xdr:spPr>
        <a:xfrm flipH="1">
          <a:off x="6477000" y="1790700"/>
          <a:ext cx="228600" cy="19050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Data\Documents\Documents\Working%20from%20Home\Bonds\Bond%20Assessments%20EML%20&amp;%20PM\20191022%20DEM%20Gambier%20Earth%20Movers%20Stafford%20&amp;%20Blackall%20Quarry%20Liability%20Estimate.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M:\Mine%20Closure%20NEW\Financial%20Assurance\Bonds\Bond%20Calculator\Calculator%20Reviews\Under%20Development\BONDB200%20%20Version%20XXXX%20SA%20Rehabilitation%20Liability%20Estimation%20Calculator%20EXPLORATION%20DRAFT.xlsx" TargetMode="External"/><Relationship Id="rId1" Type="http://schemas.openxmlformats.org/officeDocument/2006/relationships/externalLinkPath" Target="/Mine%20Closure%20NEW/Financial%20Assurance/Bonds/Bond%20Calculator/Calculator%20Reviews/Under%20Development/BONDB200%20%20Version%20XXXX%20SA%20Rehabilitation%20Liability%20Estimation%20Calculator%20EXPLORATION%20DRAF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ine%20Closure%20NEW/Financial%20Assurance/Bonds/Bonds%20Specific%20Assessments/Cu%20River%20ML%206303/2019%20Expansion/20190619%20DEM%20Cu%20River%20Cairn%20Hill%20Mine%202019%20Expansion%20PEPR%20Liability%20Estimate.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M:\Mine%20Closure%20NEW\Financial%20Assurance\Bonds\Bond%20Calculator\Current%20SA%20Rehabilitation%20Liability%20Calculator\BONDB100%20%20Unit%20Costs%20and%20Activities%20Updates%20Nov%202022.xlsx" TargetMode="External"/><Relationship Id="rId1" Type="http://schemas.openxmlformats.org/officeDocument/2006/relationships/externalLinkPath" Target="BONDB100%20%20Unit%20Costs%20and%20Activities%20Updates%20Nov%202022.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M:\Mine%20Closure%20NEW\Financial%20Assurance\Bonds\Bond%20Calculator\Current%20SA%20Rehabilitation%20Liability%20Calculator\BONDB100%20%20Unit%20Costs%20and%20Activities%20Updates%20Aug%202024.xlsx" TargetMode="External"/><Relationship Id="rId1" Type="http://schemas.openxmlformats.org/officeDocument/2006/relationships/externalLinkPath" Target="BONDB100%20%20Unit%20Costs%20and%20Activities%20Updates%20Aug%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Version Control"/>
      <sheetName val="Input Page"/>
      <sheetName val="Summary Page"/>
      <sheetName val="Distance Sheet"/>
      <sheetName val="Activities"/>
      <sheetName val="PC 1 Exploration"/>
      <sheetName val="PC 2 Underground Workings"/>
      <sheetName val="PC 3 Open Cut Pit 1"/>
      <sheetName val="PC 3 Open Cut Pit 2"/>
      <sheetName val="PC 3 Open Cut Pit 3"/>
      <sheetName val="PC 4 Waste Dumps 1"/>
      <sheetName val="PC 4 Waste Dumps 2"/>
      <sheetName val="PC 4 Waste Dumps 3"/>
      <sheetName val="PC 5 Processing Facilities"/>
      <sheetName val="PC 6 Tailings Storage 1"/>
      <sheetName val="PC 6 Tailings Storage 2"/>
      <sheetName val="PC 6 Tailings Storage 3"/>
      <sheetName val="PC 7 Heap Leach Facilities 1"/>
      <sheetName val="PC 7 Heap Leach Facilities  2"/>
      <sheetName val="PC 8 Rail Facilities"/>
      <sheetName val="PC 9 Haul and Access Roads"/>
      <sheetName val="PC 10 Admin and Accommodation"/>
      <sheetName val="PC 11 Ancillary Areas "/>
      <sheetName val="PC 12 Borrow Pits"/>
      <sheetName val="PC 13 Services Infrastructure 1"/>
      <sheetName val="PC 13 Services Infrastructure 2"/>
      <sheetName val="PC 13 Services Infrastructure 3"/>
      <sheetName val="PC 14 Water Management"/>
      <sheetName val="PC 15 ISR Uranium Mines 1 "/>
      <sheetName val="PC 15 ISR Uranium Mines 2"/>
      <sheetName val="PC 15 ISR Uranium Mines 3"/>
      <sheetName val="PC 16 Equipment Mob &amp; Demob"/>
      <sheetName val="PC 17 Monitoring and Other Cost"/>
      <sheetName val="EARF"/>
      <sheetName val="Calculations"/>
      <sheetName val="Mob &amp; Demob Equipment 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27">
          <cell r="U27" t="str">
            <v>&lt;50m3</v>
          </cell>
        </row>
        <row r="28">
          <cell r="U28" t="str">
            <v>&gt;50m3 &lt;100m3</v>
          </cell>
        </row>
        <row r="29">
          <cell r="U29" t="str">
            <v>&gt;100m3 &lt;500m3</v>
          </cell>
        </row>
        <row r="30">
          <cell r="U30" t="str">
            <v>&gt;500m3</v>
          </cell>
        </row>
        <row r="31">
          <cell r="U31" t="str">
            <v>Select Volume</v>
          </cell>
        </row>
      </sheetData>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
      <sheetName val="Version Control"/>
      <sheetName val="Input Page"/>
      <sheetName val="Summary Page"/>
      <sheetName val="Distance Sheet"/>
      <sheetName val="Activities"/>
      <sheetName val="PC 1 Exploration New"/>
      <sheetName val="Exploration Calculations"/>
      <sheetName val="PC 3 Open Cut Pit 1"/>
      <sheetName val="PC 2 Underground Workings"/>
      <sheetName val="PC 3 Open Cut Pit 2"/>
      <sheetName val="PC 3 Open Cut Pit 3"/>
      <sheetName val="PC 4 Waste Dumps 1"/>
      <sheetName val="PC 4 Waste Dumps 2"/>
      <sheetName val="PC 4 Waste Dumps 3"/>
      <sheetName val="PC 5 Processing Facilities"/>
      <sheetName val="PC 6 Tailings Storage 1"/>
      <sheetName val="PC 6 Tailings Storage 2"/>
      <sheetName val="PC 6 Tailings Storage 3"/>
      <sheetName val="PC 7 Heap Leach Facilities 1"/>
      <sheetName val="PC 7 Heap Leach Facilities  2"/>
      <sheetName val="PC 8 Rail Facilities"/>
      <sheetName val="PC 9 Haul and Access Roads"/>
      <sheetName val="PC 10 Admin and Accommodation"/>
      <sheetName val="PC 11 Ancillary Areas "/>
      <sheetName val="PC 12 Borrow Pits"/>
      <sheetName val="PC 13 Services Infrastructure 1"/>
      <sheetName val="PC 13 Services Infrastructure 2"/>
      <sheetName val="PC 13 Services Infrastructure 3"/>
      <sheetName val="PC 14 Water Management"/>
      <sheetName val="PC 15 ISR Uranium Mines 1 "/>
      <sheetName val="PC 15 ISR Uranium Mines 2"/>
      <sheetName val="PC 15 ISR Uranium Mines 3"/>
      <sheetName val="PC 16 Equipment Mob &amp; Demob"/>
      <sheetName val="PC 17 Monitoring and Other Cost"/>
      <sheetName val="Mob &amp; Demob Equipment List"/>
    </sheetNames>
    <sheetDataSet>
      <sheetData sheetId="0"/>
      <sheetData sheetId="1"/>
      <sheetData sheetId="2"/>
      <sheetData sheetId="3"/>
      <sheetData sheetId="4"/>
      <sheetData sheetId="5">
        <row r="10">
          <cell r="A10" t="str">
            <v>A1001</v>
          </cell>
          <cell r="B10" t="str">
            <v>Preliminary  Activity</v>
          </cell>
          <cell r="C10" t="str">
            <v>Design/Quantify/Survey of Tailings Dam to confirm appropriate Cover Specifications</v>
          </cell>
          <cell r="D10" t="str">
            <v>Item</v>
          </cell>
          <cell r="E10">
            <v>0</v>
          </cell>
          <cell r="F10">
            <v>0</v>
          </cell>
          <cell r="G10">
            <v>0</v>
          </cell>
          <cell r="H10">
            <v>20000</v>
          </cell>
          <cell r="I10">
            <v>20000</v>
          </cell>
          <cell r="J10">
            <v>0</v>
          </cell>
          <cell r="K10">
            <v>0</v>
          </cell>
          <cell r="L10">
            <v>0</v>
          </cell>
          <cell r="M10">
            <v>20000</v>
          </cell>
          <cell r="N10">
            <v>20000</v>
          </cell>
          <cell r="O10">
            <v>0</v>
          </cell>
          <cell r="P10">
            <v>20000</v>
          </cell>
          <cell r="Q10" t="str">
            <v>Item</v>
          </cell>
          <cell r="S10" t="str">
            <v>The sum covers the design and specification of the cover thickness and the surveying of the storage facility.  It covers the equivalent of approximately 50 to 60 hours of professional surveying, engineering and laboratory work involved when a third party is required to determine the specification of a cover for a tailing storage facility.</v>
          </cell>
        </row>
        <row r="11">
          <cell r="A11" t="str">
            <v>A1002</v>
          </cell>
          <cell r="B11" t="str">
            <v>Preliminary  Activity</v>
          </cell>
          <cell r="C11" t="str">
            <v>Engineering Assessment of Water Retaining Structures</v>
          </cell>
          <cell r="D11" t="str">
            <v>Item</v>
          </cell>
          <cell r="E11">
            <v>0</v>
          </cell>
          <cell r="F11">
            <v>0</v>
          </cell>
          <cell r="G11">
            <v>0</v>
          </cell>
          <cell r="H11">
            <v>10000</v>
          </cell>
          <cell r="I11">
            <v>10000</v>
          </cell>
          <cell r="J11">
            <v>0</v>
          </cell>
          <cell r="K11">
            <v>0</v>
          </cell>
          <cell r="L11">
            <v>0</v>
          </cell>
          <cell r="M11">
            <v>10000</v>
          </cell>
          <cell r="N11">
            <v>10000</v>
          </cell>
          <cell r="O11">
            <v>0.1</v>
          </cell>
          <cell r="P11">
            <v>11000</v>
          </cell>
          <cell r="Q11" t="str">
            <v>Item</v>
          </cell>
          <cell r="S11" t="str">
            <v>This activity is to provide for an engineering assessment of the structure and stability of any water retaining structures (excluding minor sediment traps,etc.) to ensure that they are of suitable capacity to withstand any flood event, with a wall of sufficient size and stable enough to hold any such event and with a spillway that is of sufficient capacity and design stabiltiy to handle any potential water flows.</v>
          </cell>
        </row>
        <row r="12">
          <cell r="A12" t="str">
            <v>A1003</v>
          </cell>
          <cell r="B12" t="str">
            <v>Demolition</v>
          </cell>
          <cell r="C12" t="str">
            <v>Pump Station - Above Ground on concrete slab - Demolish and remove</v>
          </cell>
          <cell r="D12" t="str">
            <v>Item</v>
          </cell>
          <cell r="E12">
            <v>693.73333333333335</v>
          </cell>
          <cell r="F12">
            <v>0</v>
          </cell>
          <cell r="G12">
            <v>530.5</v>
          </cell>
          <cell r="H12">
            <v>0</v>
          </cell>
          <cell r="I12">
            <v>1224.2333333333333</v>
          </cell>
          <cell r="J12">
            <v>693.73333333333335</v>
          </cell>
          <cell r="K12">
            <v>0</v>
          </cell>
          <cell r="L12">
            <v>530.5</v>
          </cell>
          <cell r="M12">
            <v>0</v>
          </cell>
          <cell r="N12">
            <v>1224.2333333333333</v>
          </cell>
          <cell r="O12">
            <v>0.1</v>
          </cell>
          <cell r="P12">
            <v>1346.6566666666668</v>
          </cell>
          <cell r="Q12" t="str">
            <v>Item</v>
          </cell>
          <cell r="S12" t="str">
            <v xml:space="preserve">The sum covers the demolition and removal of a pumping station and associated equipment </v>
          </cell>
        </row>
        <row r="13">
          <cell r="A13" t="str">
            <v>A1004</v>
          </cell>
          <cell r="B13" t="str">
            <v>Earthworks</v>
          </cell>
          <cell r="C13" t="str">
            <v>Major Bulk Pushing/Dozing to achieve Final Land Forms</v>
          </cell>
          <cell r="D13" t="str">
            <v>m3</v>
          </cell>
          <cell r="E13">
            <v>0.63521564618004578</v>
          </cell>
          <cell r="F13">
            <v>0</v>
          </cell>
          <cell r="G13">
            <v>0.1295336922154581</v>
          </cell>
          <cell r="H13">
            <v>0</v>
          </cell>
          <cell r="I13">
            <v>0.76474933839550385</v>
          </cell>
          <cell r="J13">
            <v>0.63521564618004578</v>
          </cell>
          <cell r="K13">
            <v>0</v>
          </cell>
          <cell r="L13">
            <v>0.1295336922154581</v>
          </cell>
          <cell r="M13">
            <v>0</v>
          </cell>
          <cell r="N13">
            <v>0.76474933839550385</v>
          </cell>
          <cell r="O13">
            <v>0.1</v>
          </cell>
          <cell r="P13">
            <v>0.84122427223505425</v>
          </cell>
          <cell r="Q13" t="str">
            <v>m3</v>
          </cell>
          <cell r="S13" t="str">
            <v>This unit cost covers the use of a dozer to push material within reasonable confines to achieve a Final Land Form.  It is often undertaken prior to covering a tailing storage facility</v>
          </cell>
        </row>
        <row r="14">
          <cell r="A14" t="str">
            <v>A1005</v>
          </cell>
          <cell r="B14" t="str">
            <v>Earthworks</v>
          </cell>
          <cell r="C14" t="str">
            <v>Load and haul of mined, processed, stockpiled materials or topsoil</v>
          </cell>
          <cell r="D14" t="str">
            <v>m3</v>
          </cell>
          <cell r="E14">
            <v>0.57233333333333325</v>
          </cell>
          <cell r="F14">
            <v>0</v>
          </cell>
          <cell r="G14">
            <v>0.2122</v>
          </cell>
          <cell r="H14">
            <v>0</v>
          </cell>
          <cell r="I14">
            <v>0.7845333333333333</v>
          </cell>
          <cell r="J14">
            <v>0.57233333333333325</v>
          </cell>
          <cell r="K14">
            <v>0</v>
          </cell>
          <cell r="L14">
            <v>0.2122</v>
          </cell>
          <cell r="M14">
            <v>0</v>
          </cell>
          <cell r="N14">
            <v>0.7845333333333333</v>
          </cell>
          <cell r="O14">
            <v>0.1</v>
          </cell>
          <cell r="P14">
            <v>0.86298666666666668</v>
          </cell>
          <cell r="Q14" t="str">
            <v>m3</v>
          </cell>
          <cell r="S14" t="str">
            <v>This activity involves loading into a truck of material previously mined, processed material or topsoil, and hauling a selected distance.</v>
          </cell>
        </row>
        <row r="15">
          <cell r="A15" t="str">
            <v>A1006</v>
          </cell>
          <cell r="B15" t="str">
            <v>Earthworks</v>
          </cell>
          <cell r="C15" t="str">
            <v xml:space="preserve">Excavation of earthen materials from local borrow pits, plus haulage </v>
          </cell>
          <cell r="D15" t="str">
            <v>m3</v>
          </cell>
          <cell r="E15">
            <v>0.57233333333333325</v>
          </cell>
          <cell r="F15">
            <v>0</v>
          </cell>
          <cell r="G15">
            <v>0.2122</v>
          </cell>
          <cell r="H15">
            <v>0</v>
          </cell>
          <cell r="I15">
            <v>0.7845333333333333</v>
          </cell>
          <cell r="J15">
            <v>0.57233333333333325</v>
          </cell>
          <cell r="K15">
            <v>0</v>
          </cell>
          <cell r="L15">
            <v>0.2122</v>
          </cell>
          <cell r="M15">
            <v>0</v>
          </cell>
          <cell r="N15">
            <v>0.7845333333333333</v>
          </cell>
          <cell r="O15">
            <v>0.1</v>
          </cell>
          <cell r="P15">
            <v>0.86298666666666668</v>
          </cell>
          <cell r="Q15" t="str">
            <v>m3</v>
          </cell>
          <cell r="S15" t="str">
            <v>This activity involves the excavation of earthern material from a local borrow pit and the loading of that material into a truck.  Haulage cost based on distance hauled.</v>
          </cell>
        </row>
        <row r="16">
          <cell r="A16" t="str">
            <v>A1007</v>
          </cell>
          <cell r="B16" t="str">
            <v>Earthworks</v>
          </cell>
          <cell r="C16" t="str">
            <v>Spreading Materials on ground or an open area excluding compaction (&gt;1,000m3)</v>
          </cell>
          <cell r="D16" t="str">
            <v>m3</v>
          </cell>
          <cell r="E16">
            <v>0.71765517241379317</v>
          </cell>
          <cell r="F16">
            <v>0</v>
          </cell>
          <cell r="G16">
            <v>0.1463448275862069</v>
          </cell>
          <cell r="H16">
            <v>0</v>
          </cell>
          <cell r="I16">
            <v>0.8640000000000001</v>
          </cell>
          <cell r="J16">
            <v>0.71765517241379317</v>
          </cell>
          <cell r="K16">
            <v>0</v>
          </cell>
          <cell r="L16">
            <v>0.1463448275862069</v>
          </cell>
          <cell r="M16">
            <v>0</v>
          </cell>
          <cell r="N16">
            <v>0.8640000000000001</v>
          </cell>
          <cell r="O16">
            <v>0.1</v>
          </cell>
          <cell r="P16">
            <v>0.95040000000000013</v>
          </cell>
          <cell r="Q16" t="str">
            <v>m3</v>
          </cell>
          <cell r="S16" t="str">
            <v xml:space="preserve">This activity involves the spreading of material that has been transported and dumped at the work area. </v>
          </cell>
        </row>
        <row r="17">
          <cell r="A17" t="str">
            <v>A1008</v>
          </cell>
          <cell r="B17" t="str">
            <v>Earthworks</v>
          </cell>
          <cell r="C17" t="str">
            <v>The haulage of materials per km per cubic metre of material</v>
          </cell>
          <cell r="D17" t="str">
            <v>/km/m3</v>
          </cell>
          <cell r="E17">
            <v>0.55794693877551016</v>
          </cell>
          <cell r="F17">
            <v>0</v>
          </cell>
          <cell r="G17">
            <v>0.22755398886827458</v>
          </cell>
          <cell r="H17">
            <v>0</v>
          </cell>
          <cell r="I17">
            <v>0.78550092764378476</v>
          </cell>
          <cell r="J17">
            <v>0.55794693877551016</v>
          </cell>
          <cell r="K17">
            <v>0</v>
          </cell>
          <cell r="L17">
            <v>0.22755398886827458</v>
          </cell>
          <cell r="M17">
            <v>0</v>
          </cell>
          <cell r="N17">
            <v>0.78550092764378476</v>
          </cell>
          <cell r="O17">
            <v>0.1</v>
          </cell>
          <cell r="P17">
            <v>0.86405102040816328</v>
          </cell>
          <cell r="Q17" t="str">
            <v>/km/m3</v>
          </cell>
          <cell r="S17" t="str">
            <v>This calculation prices the cost of hauling materials over a distance</v>
          </cell>
        </row>
        <row r="18">
          <cell r="A18" t="str">
            <v>A1009</v>
          </cell>
          <cell r="B18" t="str">
            <v>Re-Vegetation</v>
          </cell>
          <cell r="C18" t="str">
            <v>Scarification to promote vegetation growth</v>
          </cell>
          <cell r="D18" t="str">
            <v>Ha</v>
          </cell>
          <cell r="E18">
            <v>59.462857142857139</v>
          </cell>
          <cell r="F18">
            <v>0</v>
          </cell>
          <cell r="G18">
            <v>75.785714285714292</v>
          </cell>
          <cell r="H18">
            <v>0</v>
          </cell>
          <cell r="I18">
            <v>135.24857142857144</v>
          </cell>
          <cell r="J18">
            <v>59.462857142857139</v>
          </cell>
          <cell r="K18">
            <v>0</v>
          </cell>
          <cell r="L18">
            <v>75.785714285714292</v>
          </cell>
          <cell r="M18">
            <v>0</v>
          </cell>
          <cell r="N18">
            <v>135.24857142857144</v>
          </cell>
          <cell r="O18">
            <v>0.1</v>
          </cell>
          <cell r="P18">
            <v>148.77342857142858</v>
          </cell>
          <cell r="Q18" t="str">
            <v>Ha</v>
          </cell>
          <cell r="S18" t="str">
            <v xml:space="preserve">This activity is undertaken in preparation for the seeding of a particular area.  </v>
          </cell>
        </row>
        <row r="19">
          <cell r="A19" t="str">
            <v>A1010</v>
          </cell>
          <cell r="B19" t="str">
            <v>Re-Vegetation</v>
          </cell>
          <cell r="C19" t="str">
            <v>Demolish and remove concrete pads and footings - assumes reinforced concrete slab max 300 mm thick</v>
          </cell>
          <cell r="D19" t="str">
            <v>m2</v>
          </cell>
          <cell r="E19">
            <v>66.182159999999996</v>
          </cell>
          <cell r="F19">
            <v>0</v>
          </cell>
          <cell r="G19">
            <v>46.683999999999997</v>
          </cell>
          <cell r="H19">
            <v>0</v>
          </cell>
          <cell r="I19">
            <v>112.86615999999999</v>
          </cell>
          <cell r="J19">
            <v>66.182159999999996</v>
          </cell>
          <cell r="K19">
            <v>0</v>
          </cell>
          <cell r="L19">
            <v>46.683999999999997</v>
          </cell>
          <cell r="M19">
            <v>0</v>
          </cell>
          <cell r="N19">
            <v>112.86615999999999</v>
          </cell>
          <cell r="O19">
            <v>0.1</v>
          </cell>
          <cell r="P19">
            <v>124.15277599999999</v>
          </cell>
          <cell r="Q19" t="str">
            <v>m2</v>
          </cell>
          <cell r="S19" t="str">
            <v xml:space="preserve">The activity includes the demolition and removal of reinforced concrete slabs max 300 mm thick. Assumes cutting off piles at 1 m below surface. </v>
          </cell>
        </row>
        <row r="20">
          <cell r="A20" t="str">
            <v>A1011</v>
          </cell>
          <cell r="B20" t="str">
            <v>Earthworks</v>
          </cell>
          <cell r="C20" t="str">
            <v>Minor earthworks (e.g. grading, shaping). Applies where the quantity is less than 500 m2.</v>
          </cell>
          <cell r="D20" t="str">
            <v>m2</v>
          </cell>
          <cell r="E20">
            <v>1.2487333333333333</v>
          </cell>
          <cell r="F20">
            <v>0</v>
          </cell>
          <cell r="G20">
            <v>0.4244</v>
          </cell>
          <cell r="H20">
            <v>0</v>
          </cell>
          <cell r="I20">
            <v>1.6731333333333334</v>
          </cell>
          <cell r="J20">
            <v>1.2487333333333333</v>
          </cell>
          <cell r="K20">
            <v>0</v>
          </cell>
          <cell r="L20">
            <v>0.4244</v>
          </cell>
          <cell r="M20">
            <v>0</v>
          </cell>
          <cell r="N20">
            <v>1.6731333333333334</v>
          </cell>
          <cell r="O20">
            <v>0.1</v>
          </cell>
          <cell r="P20">
            <v>1.8404466666666668</v>
          </cell>
          <cell r="Q20" t="str">
            <v>m2</v>
          </cell>
          <cell r="S20" t="str">
            <v>Applies to very small areas.</v>
          </cell>
        </row>
        <row r="21">
          <cell r="A21" t="str">
            <v>A1012</v>
          </cell>
          <cell r="B21" t="str">
            <v>Re-Vegetation</v>
          </cell>
          <cell r="C21" t="str">
            <v xml:space="preserve">Construction of a stock proof fence including appropriate gates </v>
          </cell>
          <cell r="D21" t="str">
            <v>km</v>
          </cell>
          <cell r="E21">
            <v>0</v>
          </cell>
          <cell r="F21">
            <v>5101</v>
          </cell>
          <cell r="G21">
            <v>0</v>
          </cell>
          <cell r="H21">
            <v>4244</v>
          </cell>
          <cell r="I21">
            <v>9345</v>
          </cell>
          <cell r="J21">
            <v>0</v>
          </cell>
          <cell r="K21">
            <v>5101</v>
          </cell>
          <cell r="L21">
            <v>0</v>
          </cell>
          <cell r="M21">
            <v>4244</v>
          </cell>
          <cell r="N21">
            <v>9345</v>
          </cell>
          <cell r="O21">
            <v>0.1</v>
          </cell>
          <cell r="P21">
            <v>10279.5</v>
          </cell>
          <cell r="Q21" t="str">
            <v>km</v>
          </cell>
          <cell r="S21" t="str">
            <v>This activity involves the construction of a stock proof fence to protect revegetation against stock and to provide an obstacle to persons to prevent inadvertant access.  It is not designed to prevent a person climbing over it.  It includes an allowance for gates.</v>
          </cell>
        </row>
        <row r="22">
          <cell r="A22" t="str">
            <v>A1013</v>
          </cell>
          <cell r="B22" t="str">
            <v>Re-Vegetation</v>
          </cell>
          <cell r="C22" t="str">
            <v>Sourcing, Carting and Spreading of Topsoil over an Area</v>
          </cell>
          <cell r="D22" t="str">
            <v>m3</v>
          </cell>
          <cell r="E22">
            <v>0.80386999999999997</v>
          </cell>
          <cell r="F22">
            <v>0</v>
          </cell>
          <cell r="G22">
            <v>0.28647</v>
          </cell>
          <cell r="H22">
            <v>0</v>
          </cell>
          <cell r="I22">
            <v>1.0903399999999999</v>
          </cell>
          <cell r="J22">
            <v>0.80386999999999997</v>
          </cell>
          <cell r="K22">
            <v>0</v>
          </cell>
          <cell r="L22">
            <v>0.28647</v>
          </cell>
          <cell r="M22">
            <v>0</v>
          </cell>
          <cell r="N22">
            <v>1.0903399999999999</v>
          </cell>
          <cell r="O22">
            <v>0.1</v>
          </cell>
          <cell r="P22">
            <v>1.1993739999999999</v>
          </cell>
          <cell r="Q22" t="str">
            <v>m3</v>
          </cell>
          <cell r="S22" t="str">
            <v>This activity covers the sourcing of topsoil or suitable growth medium, transporting from the source to the required area and then spreading it over that area.</v>
          </cell>
        </row>
        <row r="23">
          <cell r="A23" t="str">
            <v>A1014</v>
          </cell>
          <cell r="B23" t="str">
            <v>Earthworks</v>
          </cell>
          <cell r="C23" t="str">
            <v xml:space="preserve">Consolidation of loose Stockpiles of Waste and/or Ore </v>
          </cell>
          <cell r="D23" t="str">
            <v>m3</v>
          </cell>
          <cell r="E23">
            <v>2.1332333333333331</v>
          </cell>
          <cell r="F23">
            <v>0</v>
          </cell>
          <cell r="G23">
            <v>0.63660000000000005</v>
          </cell>
          <cell r="H23">
            <v>0</v>
          </cell>
          <cell r="I23">
            <v>2.7698333333333331</v>
          </cell>
          <cell r="J23">
            <v>2.1332333333333331</v>
          </cell>
          <cell r="K23">
            <v>0</v>
          </cell>
          <cell r="L23">
            <v>0.63660000000000005</v>
          </cell>
          <cell r="M23">
            <v>0</v>
          </cell>
          <cell r="N23">
            <v>2.7698333333333331</v>
          </cell>
          <cell r="O23">
            <v>0.1</v>
          </cell>
          <cell r="P23">
            <v>3.0468166666666665</v>
          </cell>
          <cell r="Q23" t="str">
            <v>m3</v>
          </cell>
          <cell r="S23" t="str">
            <v>This activity covers the removal of small stockpiles of waste rock, ROM ore and other stockpiles.  These are consolidated into one waste dump for rehabilitation.</v>
          </cell>
        </row>
        <row r="24">
          <cell r="A24" t="str">
            <v>A1015</v>
          </cell>
          <cell r="B24" t="str">
            <v>Earthworks</v>
          </cell>
          <cell r="C24" t="str">
            <v>Minor Shaping across a Dump or Disturbed Area</v>
          </cell>
          <cell r="D24" t="str">
            <v>Ha</v>
          </cell>
          <cell r="E24">
            <v>1873.1</v>
          </cell>
          <cell r="F24">
            <v>0</v>
          </cell>
          <cell r="G24">
            <v>636.59999999999991</v>
          </cell>
          <cell r="H24">
            <v>0</v>
          </cell>
          <cell r="I24">
            <v>2509.6999999999998</v>
          </cell>
          <cell r="J24">
            <v>1873.1</v>
          </cell>
          <cell r="K24">
            <v>0</v>
          </cell>
          <cell r="L24">
            <v>636.59999999999991</v>
          </cell>
          <cell r="M24">
            <v>0</v>
          </cell>
          <cell r="N24">
            <v>2509.6999999999998</v>
          </cell>
          <cell r="O24">
            <v>0.1</v>
          </cell>
          <cell r="P24">
            <v>2760.6699999999996</v>
          </cell>
          <cell r="Q24" t="str">
            <v>Ha</v>
          </cell>
          <cell r="S24" t="str">
            <v xml:space="preserve">This activity covers minor shaping shifting pushing across a dump or disturbed area.  It is based on a rate per hectare.  It covers area where there needs to be some clearing work, tidying up of disturbed ground,  but not just bulk pushing </v>
          </cell>
        </row>
        <row r="25">
          <cell r="A25" t="str">
            <v>A1016</v>
          </cell>
          <cell r="B25" t="str">
            <v>Earthworks</v>
          </cell>
          <cell r="C25" t="str">
            <v>Construction of Berm or Barrier to prevent Access</v>
          </cell>
          <cell r="D25" t="str">
            <v>Lin m</v>
          </cell>
          <cell r="E25">
            <v>27.749333333333333</v>
          </cell>
          <cell r="F25">
            <v>0</v>
          </cell>
          <cell r="G25">
            <v>12.731999999999999</v>
          </cell>
          <cell r="H25">
            <v>0</v>
          </cell>
          <cell r="I25">
            <v>40.481333333333332</v>
          </cell>
          <cell r="J25">
            <v>27.749333333333333</v>
          </cell>
          <cell r="K25">
            <v>0</v>
          </cell>
          <cell r="L25">
            <v>12.731999999999999</v>
          </cell>
          <cell r="M25">
            <v>0</v>
          </cell>
          <cell r="N25">
            <v>40.481333333333332</v>
          </cell>
          <cell r="O25">
            <v>0.1</v>
          </cell>
          <cell r="P25">
            <v>44.529466666666664</v>
          </cell>
          <cell r="Q25" t="str">
            <v>Lin m</v>
          </cell>
          <cell r="S25" t="str">
            <v>The activity covers the construction of a Berm or Barrier to prevent access.  The Barrier is designed to prevent vehicular access and is a significant size to do this.</v>
          </cell>
        </row>
        <row r="26">
          <cell r="A26" t="str">
            <v>A1017</v>
          </cell>
          <cell r="B26" t="str">
            <v>Earthworks</v>
          </cell>
          <cell r="C26" t="str">
            <v>Construction of Water Run-off Management Structures and/or Dams</v>
          </cell>
          <cell r="D26" t="str">
            <v>Ha</v>
          </cell>
          <cell r="E26">
            <v>4016.72</v>
          </cell>
          <cell r="F26">
            <v>1019.9999999999999</v>
          </cell>
          <cell r="G26">
            <v>1018.5599999999997</v>
          </cell>
          <cell r="H26">
            <v>0</v>
          </cell>
          <cell r="I26">
            <v>6055.2799999999988</v>
          </cell>
          <cell r="J26">
            <v>4016.72</v>
          </cell>
          <cell r="K26">
            <v>1019.9999999999999</v>
          </cell>
          <cell r="L26">
            <v>1018.5599999999997</v>
          </cell>
          <cell r="M26">
            <v>0</v>
          </cell>
          <cell r="N26">
            <v>6055.2799999999988</v>
          </cell>
          <cell r="O26">
            <v>0.1</v>
          </cell>
          <cell r="P26">
            <v>6660.8079999999991</v>
          </cell>
          <cell r="Q26" t="str">
            <v>Ha</v>
          </cell>
          <cell r="S26" t="str">
            <v>This activity is a general activity and it involves shaping of critical areas, the construction of minor water management drains, rock lining of the drains, dams and diversion channels to manage water run-off from the area. It is based on a rate per hectare (based only on the hectares associated with the run-off management) and includes channel excavation, rock lining and minor dam construction.  (Operator may prefer to better define this activity)</v>
          </cell>
        </row>
        <row r="27">
          <cell r="A27" t="str">
            <v>A1018</v>
          </cell>
          <cell r="B27" t="str">
            <v>Earthworks</v>
          </cell>
          <cell r="C27" t="str">
            <v xml:space="preserve">Drill and Blast the top bench to half height </v>
          </cell>
          <cell r="D27" t="str">
            <v>m3</v>
          </cell>
          <cell r="E27">
            <v>0</v>
          </cell>
          <cell r="F27">
            <v>1.3702167176343703</v>
          </cell>
          <cell r="G27">
            <v>0</v>
          </cell>
          <cell r="H27">
            <v>0.9860740740740741</v>
          </cell>
          <cell r="I27">
            <v>2.3562907917084441</v>
          </cell>
          <cell r="J27">
            <v>0</v>
          </cell>
          <cell r="K27">
            <v>1.3702167176343703</v>
          </cell>
          <cell r="L27">
            <v>0</v>
          </cell>
          <cell r="M27">
            <v>0.9860740740740741</v>
          </cell>
          <cell r="N27">
            <v>2.3562907917084441</v>
          </cell>
          <cell r="O27">
            <v>0.1</v>
          </cell>
          <cell r="P27">
            <v>2.5919198708792885</v>
          </cell>
          <cell r="Q27" t="str">
            <v>m3</v>
          </cell>
          <cell r="S27" t="str">
            <v>This activity provides a greater degree of stability by 'rolling over' the top face.  It also provides a better visual impact and it is possible to spread soil or overburden material to assist in vegetation growth.  For remote sites it may not necessarily add significant value and should be assessed in regards to pit stability and visual impacts.  Alternatively it may be possible to excavate this material rather than blast.</v>
          </cell>
        </row>
        <row r="28">
          <cell r="A28" t="str">
            <v>A1019</v>
          </cell>
          <cell r="B28" t="str">
            <v>Earthworks</v>
          </cell>
          <cell r="C28" t="str">
            <v xml:space="preserve">Construction of a 6' chain mesh security fience around the perimeter </v>
          </cell>
          <cell r="D28" t="str">
            <v>km</v>
          </cell>
          <cell r="E28">
            <v>0</v>
          </cell>
          <cell r="F28">
            <v>18363.599999999999</v>
          </cell>
          <cell r="G28">
            <v>0</v>
          </cell>
          <cell r="H28">
            <v>20159</v>
          </cell>
          <cell r="I28">
            <v>38522.6</v>
          </cell>
          <cell r="J28">
            <v>0</v>
          </cell>
          <cell r="K28">
            <v>18363.599999999999</v>
          </cell>
          <cell r="L28">
            <v>0</v>
          </cell>
          <cell r="M28">
            <v>20159</v>
          </cell>
          <cell r="N28">
            <v>38522.6</v>
          </cell>
          <cell r="O28">
            <v>0.1</v>
          </cell>
          <cell r="P28">
            <v>42374.86</v>
          </cell>
          <cell r="Q28" t="str">
            <v>km</v>
          </cell>
          <cell r="S28" t="str">
            <v>This activity involves the construction of a chain mesh security fence to restrict and prevent access.   It includes an allowance for gates.</v>
          </cell>
        </row>
        <row r="29">
          <cell r="A29" t="str">
            <v>A1020</v>
          </cell>
          <cell r="B29" t="str">
            <v>Monitoring</v>
          </cell>
          <cell r="C29" t="str">
            <v>Monitoring (Extractive Industries)</v>
          </cell>
          <cell r="D29" t="str">
            <v>Item</v>
          </cell>
          <cell r="E29">
            <v>0</v>
          </cell>
          <cell r="F29">
            <v>0</v>
          </cell>
          <cell r="G29">
            <v>0</v>
          </cell>
          <cell r="H29">
            <v>50000</v>
          </cell>
          <cell r="I29">
            <v>50000</v>
          </cell>
          <cell r="J29">
            <v>0</v>
          </cell>
          <cell r="K29">
            <v>0</v>
          </cell>
          <cell r="L29">
            <v>0</v>
          </cell>
          <cell r="M29">
            <v>50000</v>
          </cell>
          <cell r="N29">
            <v>50000</v>
          </cell>
          <cell r="P29">
            <v>50000</v>
          </cell>
          <cell r="Q29" t="str">
            <v>Item</v>
          </cell>
          <cell r="S29" t="str">
            <v>This Activity includes the monitoring of the rehabilitaiton project for a period of time specified in the Approved Mining Program.  It allows for the cost of site visits, expertise assessment as required, some testing and potentially some redesign to ensure that the final outcome of the rehabilitation provides a long term secure and stable site.  It applies to extractive mines only.</v>
          </cell>
        </row>
        <row r="30">
          <cell r="A30" t="str">
            <v>A1021</v>
          </cell>
          <cell r="B30" t="str">
            <v>Monitoring</v>
          </cell>
          <cell r="C30" t="str">
            <v>Monitoring (Mining Operations free of Sulphides and Radioactive materials)</v>
          </cell>
          <cell r="D30" t="str">
            <v>Item</v>
          </cell>
          <cell r="E30">
            <v>0</v>
          </cell>
          <cell r="F30">
            <v>0</v>
          </cell>
          <cell r="G30">
            <v>0</v>
          </cell>
          <cell r="H30">
            <v>70000</v>
          </cell>
          <cell r="I30">
            <v>70000</v>
          </cell>
          <cell r="J30">
            <v>0</v>
          </cell>
          <cell r="K30">
            <v>0</v>
          </cell>
          <cell r="L30">
            <v>0</v>
          </cell>
          <cell r="M30">
            <v>70000</v>
          </cell>
          <cell r="N30">
            <v>70000</v>
          </cell>
          <cell r="P30">
            <v>70000</v>
          </cell>
          <cell r="Q30" t="str">
            <v>Item</v>
          </cell>
          <cell r="S30" t="str">
            <v>This Activity includes the monitoring of the rehabilitaiton project for a period of time specified in the Approved Mining Program.  It allows for the cost of site visits, expertise assessment as required, some testing and potentially some redesign to ensure that the final outcome of the rehabilitation provides a long term secure and stable site.  This applies to mines with no sulphidic  or radioactive materials.</v>
          </cell>
        </row>
        <row r="31">
          <cell r="A31" t="str">
            <v>A1022</v>
          </cell>
          <cell r="B31" t="str">
            <v>Monitoring</v>
          </cell>
          <cell r="C31" t="str">
            <v>Monitoring (Radioactive Materials - but not Sulphidic Materials)</v>
          </cell>
          <cell r="D31" t="str">
            <v>Item</v>
          </cell>
          <cell r="E31">
            <v>0</v>
          </cell>
          <cell r="F31">
            <v>0</v>
          </cell>
          <cell r="G31">
            <v>0</v>
          </cell>
          <cell r="H31">
            <v>90000</v>
          </cell>
          <cell r="I31">
            <v>90000</v>
          </cell>
          <cell r="J31">
            <v>0</v>
          </cell>
          <cell r="K31">
            <v>0</v>
          </cell>
          <cell r="L31">
            <v>0</v>
          </cell>
          <cell r="M31">
            <v>90000</v>
          </cell>
          <cell r="N31">
            <v>90000</v>
          </cell>
          <cell r="P31">
            <v>90000</v>
          </cell>
          <cell r="Q31" t="str">
            <v>Item</v>
          </cell>
          <cell r="S31" t="str">
            <v>This Activity includes the monitoring of the rehabilitaiton project for a period of time specified in the Approved Mining Program.  It allows for the cost of site visits, expertise assessment as required, some testing and potentially some redesign to ensure that the final outcome of the rehabilitation provides a long term secure and stable site.  This applies to mines with some actual or potential radioactive materials, but not sulphidic material..</v>
          </cell>
        </row>
        <row r="32">
          <cell r="A32" t="str">
            <v>A1023</v>
          </cell>
          <cell r="B32" t="str">
            <v>Monitoring</v>
          </cell>
          <cell r="C32" t="str">
            <v>Monitoring (Mining Operations mining Sulphidic Materials)</v>
          </cell>
          <cell r="D32" t="str">
            <v>Item</v>
          </cell>
          <cell r="E32">
            <v>0</v>
          </cell>
          <cell r="F32">
            <v>0</v>
          </cell>
          <cell r="G32">
            <v>0</v>
          </cell>
          <cell r="H32">
            <v>100000</v>
          </cell>
          <cell r="I32">
            <v>100000</v>
          </cell>
          <cell r="J32">
            <v>0</v>
          </cell>
          <cell r="K32">
            <v>0</v>
          </cell>
          <cell r="L32">
            <v>0</v>
          </cell>
          <cell r="M32">
            <v>100000</v>
          </cell>
          <cell r="N32">
            <v>100000</v>
          </cell>
          <cell r="P32">
            <v>100000</v>
          </cell>
          <cell r="Q32" t="str">
            <v>Item</v>
          </cell>
          <cell r="S32" t="str">
            <v>This Activity includes the monitoring of the rehabilitaiton project for a period of time specified in the Approved Mining Program.  It allows for the cost of site visits, expertise assessment as required, some testing and potentially some redesign to ensure that the final outcome of the rehabilitation provides a long term secure and stable site.  This applies to mines mining sulphidic material..</v>
          </cell>
        </row>
        <row r="33">
          <cell r="A33" t="str">
            <v>A1024</v>
          </cell>
          <cell r="B33" t="str">
            <v>Monitoring</v>
          </cell>
          <cell r="C33" t="str">
            <v>Maintenance (including remedial earthworks, revegetation, weed and pest animal control)</v>
          </cell>
          <cell r="D33" t="str">
            <v>Item</v>
          </cell>
          <cell r="H33">
            <v>0.1</v>
          </cell>
          <cell r="I33">
            <v>0.1</v>
          </cell>
          <cell r="N33">
            <v>0.1</v>
          </cell>
          <cell r="P33">
            <v>0.1</v>
          </cell>
          <cell r="Q33" t="str">
            <v>Item</v>
          </cell>
        </row>
        <row r="34">
          <cell r="A34" t="str">
            <v>A1025</v>
          </cell>
          <cell r="B34" t="str">
            <v>Supervision</v>
          </cell>
          <cell r="C34" t="str">
            <v>Government management costs</v>
          </cell>
          <cell r="D34" t="str">
            <v>Item</v>
          </cell>
          <cell r="H34">
            <v>7.4999999999999997E-2</v>
          </cell>
          <cell r="I34">
            <v>7.4999999999999997E-2</v>
          </cell>
          <cell r="N34">
            <v>7.4999999999999997E-2</v>
          </cell>
          <cell r="P34">
            <v>7.4999999999999997E-2</v>
          </cell>
          <cell r="Q34" t="str">
            <v>Item</v>
          </cell>
        </row>
        <row r="35">
          <cell r="A35" t="str">
            <v>A1026</v>
          </cell>
          <cell r="B35" t="str">
            <v>Supervision</v>
          </cell>
          <cell r="C35" t="str">
            <v>Third Party Rehabilitation Project Management</v>
          </cell>
          <cell r="D35" t="str">
            <v>Item</v>
          </cell>
          <cell r="H35">
            <v>0.125</v>
          </cell>
          <cell r="I35">
            <v>0.125</v>
          </cell>
          <cell r="N35">
            <v>0.125</v>
          </cell>
          <cell r="P35">
            <v>0.125</v>
          </cell>
          <cell r="Q35" t="str">
            <v>Item</v>
          </cell>
        </row>
        <row r="36">
          <cell r="A36" t="str">
            <v>A1027</v>
          </cell>
          <cell r="B36" t="str">
            <v>Supervision</v>
          </cell>
          <cell r="C36" t="str">
            <v xml:space="preserve">Insurances </v>
          </cell>
          <cell r="D36" t="str">
            <v>Item</v>
          </cell>
          <cell r="H36">
            <v>0.01</v>
          </cell>
          <cell r="I36">
            <v>0.01</v>
          </cell>
          <cell r="N36">
            <v>0.01</v>
          </cell>
          <cell r="P36">
            <v>0.01</v>
          </cell>
          <cell r="Q36" t="str">
            <v>Item</v>
          </cell>
        </row>
        <row r="37">
          <cell r="A37" t="str">
            <v>A1028</v>
          </cell>
          <cell r="B37" t="str">
            <v>Supervision</v>
          </cell>
          <cell r="C37" t="str">
            <v>Contingencies</v>
          </cell>
          <cell r="D37" t="str">
            <v>Item</v>
          </cell>
          <cell r="H37">
            <v>0</v>
          </cell>
          <cell r="I37">
            <v>0</v>
          </cell>
          <cell r="N37">
            <v>0</v>
          </cell>
          <cell r="P37">
            <v>0</v>
          </cell>
          <cell r="Q37" t="str">
            <v>Item</v>
          </cell>
        </row>
        <row r="38">
          <cell r="A38" t="str">
            <v>A1029</v>
          </cell>
          <cell r="B38" t="str">
            <v>Preliminary  Activity</v>
          </cell>
          <cell r="C38" t="str">
            <v>Clean Process Facility of all materials and waste and Decontaminate ready for Demolition</v>
          </cell>
          <cell r="D38" t="str">
            <v>Item</v>
          </cell>
          <cell r="E38">
            <v>0</v>
          </cell>
          <cell r="F38">
            <v>0</v>
          </cell>
          <cell r="G38">
            <v>0</v>
          </cell>
          <cell r="H38">
            <v>20000</v>
          </cell>
          <cell r="I38">
            <v>20000</v>
          </cell>
          <cell r="J38">
            <v>0</v>
          </cell>
          <cell r="K38">
            <v>0</v>
          </cell>
          <cell r="L38">
            <v>0</v>
          </cell>
          <cell r="M38">
            <v>20000</v>
          </cell>
          <cell r="N38">
            <v>20000</v>
          </cell>
          <cell r="O38">
            <v>0.1</v>
          </cell>
          <cell r="P38">
            <v>22000</v>
          </cell>
          <cell r="Q38" t="str">
            <v>Item</v>
          </cell>
          <cell r="S38" t="str">
            <v>This activity precedes any demolition and involves the cleaning out of the processing facility of all materials, waste and rubbish prior to demolition.  It includes the removal of contaminated material and the decontamination of the plant.  It is in effect made ready for demolition.</v>
          </cell>
        </row>
        <row r="39">
          <cell r="A39" t="str">
            <v>A1030</v>
          </cell>
          <cell r="B39" t="str">
            <v>Preliminary  Activity</v>
          </cell>
          <cell r="C39" t="str">
            <v>Disconnection of Services to Area</v>
          </cell>
          <cell r="D39" t="str">
            <v>Item</v>
          </cell>
          <cell r="E39">
            <v>0</v>
          </cell>
          <cell r="F39">
            <v>0</v>
          </cell>
          <cell r="G39">
            <v>0</v>
          </cell>
          <cell r="H39">
            <v>2400</v>
          </cell>
          <cell r="I39">
            <v>2400</v>
          </cell>
          <cell r="J39">
            <v>0</v>
          </cell>
          <cell r="K39">
            <v>0</v>
          </cell>
          <cell r="L39">
            <v>0</v>
          </cell>
          <cell r="M39">
            <v>2400</v>
          </cell>
          <cell r="N39">
            <v>2400</v>
          </cell>
          <cell r="O39">
            <v>0.1</v>
          </cell>
          <cell r="P39">
            <v>2640</v>
          </cell>
          <cell r="Q39" t="str">
            <v>Item</v>
          </cell>
          <cell r="S39" t="str">
            <v>This Activity includes disconnecting and terminating all services such as power, water and sewer.  It covers the disconnection costs for an area.  Within a mine site there may be a number of areas which need to have services disconnected.</v>
          </cell>
        </row>
        <row r="40">
          <cell r="A40" t="str">
            <v>A1031</v>
          </cell>
          <cell r="B40" t="str">
            <v>Demolition</v>
          </cell>
          <cell r="C40" t="str">
            <v>Demolition of process plant including superstructure and removal to designated onsite dump sitesite (Add all levels of structure in total area).</v>
          </cell>
          <cell r="D40" t="str">
            <v>m2</v>
          </cell>
          <cell r="E40">
            <v>183.92604999999998</v>
          </cell>
          <cell r="F40">
            <v>0</v>
          </cell>
          <cell r="G40">
            <v>114.58999999999997</v>
          </cell>
          <cell r="H40">
            <v>0</v>
          </cell>
          <cell r="I40">
            <v>298.51604999999995</v>
          </cell>
          <cell r="J40">
            <v>183.92604999999998</v>
          </cell>
          <cell r="K40">
            <v>0</v>
          </cell>
          <cell r="L40">
            <v>114.58999999999997</v>
          </cell>
          <cell r="M40">
            <v>0</v>
          </cell>
          <cell r="N40">
            <v>298.51604999999995</v>
          </cell>
          <cell r="O40">
            <v>0.1</v>
          </cell>
          <cell r="P40">
            <v>328.36765499999996</v>
          </cell>
          <cell r="Q40" t="str">
            <v>m2</v>
          </cell>
          <cell r="S40" t="str">
            <v>The activity include the demolition and removal of the plant superstructure, including piping, steel structures up to 5 levels and the removal to an approved on-site dump.  It does not include tanks or the foundations and footings supporting the super structure.</v>
          </cell>
        </row>
        <row r="41">
          <cell r="A41" t="str">
            <v>A1032</v>
          </cell>
          <cell r="B41" t="str">
            <v>Demolition</v>
          </cell>
          <cell r="C41" t="str">
            <v xml:space="preserve">Demolition of tanks (leach, flotation, thickners, etc) associated with the Production Process </v>
          </cell>
          <cell r="D41" t="str">
            <v>m2</v>
          </cell>
          <cell r="E41">
            <v>175.25894736842108</v>
          </cell>
          <cell r="F41">
            <v>0</v>
          </cell>
          <cell r="G41">
            <v>223.36842105263159</v>
          </cell>
          <cell r="H41">
            <v>0</v>
          </cell>
          <cell r="I41">
            <v>398.62736842105267</v>
          </cell>
          <cell r="J41">
            <v>175.25894736842108</v>
          </cell>
          <cell r="K41">
            <v>0</v>
          </cell>
          <cell r="L41">
            <v>223.36842105263159</v>
          </cell>
          <cell r="M41">
            <v>0</v>
          </cell>
          <cell r="N41">
            <v>398.62736842105267</v>
          </cell>
          <cell r="O41">
            <v>0.1</v>
          </cell>
          <cell r="P41">
            <v>438.49010526315794</v>
          </cell>
          <cell r="Q41" t="str">
            <v>m2</v>
          </cell>
          <cell r="S41" t="str">
            <v>This activity covers the demolition of tanks associated with the production production process.  The costs are based on the tank area and all tanks are included.  (The assumed costs are therefore an average of inground, on ground, elevated, steel and concrete construction)</v>
          </cell>
        </row>
        <row r="42">
          <cell r="A42" t="str">
            <v>A1033</v>
          </cell>
          <cell r="B42" t="str">
            <v>Demolition</v>
          </cell>
          <cell r="C42" t="str">
            <v xml:space="preserve">Demolition of Conveyors and Gantries - Demolish and remove to site dump </v>
          </cell>
          <cell r="D42" t="str">
            <v>Lin m</v>
          </cell>
          <cell r="E42">
            <v>218.52599999999998</v>
          </cell>
          <cell r="F42">
            <v>0</v>
          </cell>
          <cell r="G42">
            <v>133.68799999999999</v>
          </cell>
          <cell r="H42">
            <v>0</v>
          </cell>
          <cell r="I42">
            <v>352.21399999999994</v>
          </cell>
          <cell r="J42">
            <v>218.52599999999998</v>
          </cell>
          <cell r="K42">
            <v>0</v>
          </cell>
          <cell r="L42">
            <v>133.68799999999999</v>
          </cell>
          <cell r="M42">
            <v>0</v>
          </cell>
          <cell r="N42">
            <v>352.21399999999994</v>
          </cell>
          <cell r="O42">
            <v>0.1</v>
          </cell>
          <cell r="P42">
            <v>387.43539999999996</v>
          </cell>
          <cell r="Q42" t="str">
            <v>Lin m</v>
          </cell>
          <cell r="S42" t="str">
            <v>The activity include the demolition and removal of the conveyors and gantries to  site dump.  This does not inlcude the salvaging of the conveyors.  This activity assumes a mixture of ground and overhead conveyors.</v>
          </cell>
        </row>
        <row r="43">
          <cell r="A43" t="str">
            <v>A1034</v>
          </cell>
          <cell r="B43" t="str">
            <v>Demolition</v>
          </cell>
          <cell r="C43" t="str">
            <v>Demolish heavy duty concrete structures, crusher and other equipment footings</v>
          </cell>
          <cell r="D43" t="str">
            <v>m2</v>
          </cell>
          <cell r="E43">
            <v>128.61815999999999</v>
          </cell>
          <cell r="F43">
            <v>0</v>
          </cell>
          <cell r="G43">
            <v>93.367999999999995</v>
          </cell>
          <cell r="H43">
            <v>0</v>
          </cell>
          <cell r="I43">
            <v>221.98615999999998</v>
          </cell>
          <cell r="J43">
            <v>128.61815999999999</v>
          </cell>
          <cell r="K43">
            <v>0</v>
          </cell>
          <cell r="L43">
            <v>93.367999999999995</v>
          </cell>
          <cell r="M43">
            <v>0</v>
          </cell>
          <cell r="N43">
            <v>221.98615999999998</v>
          </cell>
          <cell r="O43">
            <v>0.1</v>
          </cell>
          <cell r="P43">
            <v>244.184776</v>
          </cell>
          <cell r="Q43" t="str">
            <v>m2</v>
          </cell>
          <cell r="S43" t="str">
            <v xml:space="preserve">The activity include the demolition and removal of the the heavy duty concrete footings and bases used for the support of major items of plant and equipment primarily around the processing plant.  </v>
          </cell>
        </row>
        <row r="44">
          <cell r="A44" t="str">
            <v>A1035</v>
          </cell>
          <cell r="B44" t="str">
            <v>Demolition</v>
          </cell>
          <cell r="C44" t="str">
            <v>Demolish and Removal of Pipework - Plastic (Borefields, tailing facilities, etc)</v>
          </cell>
          <cell r="D44" t="str">
            <v>m</v>
          </cell>
          <cell r="E44">
            <v>4.94285</v>
          </cell>
          <cell r="F44">
            <v>0</v>
          </cell>
          <cell r="G44">
            <v>4.2439999999999998</v>
          </cell>
          <cell r="H44">
            <v>0</v>
          </cell>
          <cell r="I44">
            <v>9.1868499999999997</v>
          </cell>
          <cell r="J44">
            <v>4.94285</v>
          </cell>
          <cell r="K44">
            <v>0</v>
          </cell>
          <cell r="L44">
            <v>4.2439999999999998</v>
          </cell>
          <cell r="M44">
            <v>0</v>
          </cell>
          <cell r="N44">
            <v>9.1868499999999997</v>
          </cell>
          <cell r="O44">
            <v>0.1</v>
          </cell>
          <cell r="P44">
            <v>10.105535</v>
          </cell>
          <cell r="Q44" t="str">
            <v>m</v>
          </cell>
          <cell r="S44" t="str">
            <v>The activity consists of removing all pipework within the area and disposing of this pipework in an approved dump on the site.  The pipework should be cut up or shredded.  The activity assumes that the pipe is &lt;200mm and is plastic in nature.  If the pipe is very large or steel a separate demolition price should be prepared.  It does not inlcude pipework within a process plant.</v>
          </cell>
        </row>
        <row r="45">
          <cell r="A45" t="str">
            <v>A1036</v>
          </cell>
          <cell r="B45" t="str">
            <v>Demolition</v>
          </cell>
          <cell r="C45" t="str">
            <v>Demolition and removal of Bitumen, spray seal and crushed rock roadbase</v>
          </cell>
          <cell r="D45" t="str">
            <v>m2</v>
          </cell>
          <cell r="E45">
            <v>0.302425</v>
          </cell>
          <cell r="F45">
            <v>0</v>
          </cell>
          <cell r="G45">
            <v>7.9574999999999993E-2</v>
          </cell>
          <cell r="H45">
            <v>0</v>
          </cell>
          <cell r="I45">
            <v>0.38200000000000001</v>
          </cell>
          <cell r="J45">
            <v>0.302425</v>
          </cell>
          <cell r="K45">
            <v>0</v>
          </cell>
          <cell r="L45">
            <v>7.9574999999999993E-2</v>
          </cell>
          <cell r="M45">
            <v>0</v>
          </cell>
          <cell r="N45">
            <v>0.38200000000000001</v>
          </cell>
          <cell r="O45">
            <v>0.1</v>
          </cell>
          <cell r="P45">
            <v>0.42020000000000002</v>
          </cell>
          <cell r="Q45" t="str">
            <v>m2</v>
          </cell>
          <cell r="S45" t="str">
            <v>The activity involves the digging up and removal of bitumen, sprayseal and crushed roadbase to a designated dump on the mine site.</v>
          </cell>
        </row>
        <row r="46">
          <cell r="A46" t="str">
            <v>A1037</v>
          </cell>
          <cell r="B46" t="str">
            <v>Preliminary  Activity</v>
          </cell>
          <cell r="C46" t="str">
            <v>Characteristics of soil and groundwater contamination (Environmental site assessment)</v>
          </cell>
          <cell r="D46" t="str">
            <v>Ha</v>
          </cell>
          <cell r="E46">
            <v>0</v>
          </cell>
          <cell r="F46">
            <v>0</v>
          </cell>
          <cell r="G46">
            <v>0</v>
          </cell>
          <cell r="H46">
            <v>21220</v>
          </cell>
          <cell r="I46">
            <v>21220</v>
          </cell>
          <cell r="J46">
            <v>0</v>
          </cell>
          <cell r="K46">
            <v>0</v>
          </cell>
          <cell r="L46">
            <v>0</v>
          </cell>
          <cell r="M46">
            <v>21220</v>
          </cell>
          <cell r="N46">
            <v>21220</v>
          </cell>
          <cell r="O46">
            <v>0.1</v>
          </cell>
          <cell r="P46">
            <v>23342</v>
          </cell>
          <cell r="Q46" t="str">
            <v>Ha</v>
          </cell>
          <cell r="S46" t="str">
            <v>Assumes soil sampling at 10 locations and development of up to four groundwater wells and one groundwater monitoring event (GME) per hectare.  Chemical analysis of one soild sample per location and one groundwater sample per well for a standard suite of chemicals (eg heavy metals, selected organics) of potential interest.  Soil sites advance to a maximum of 1 metre below ground level and wells to a maximum depth of 12 metres below ground level.</v>
          </cell>
        </row>
        <row r="47">
          <cell r="A47" t="str">
            <v>A1038</v>
          </cell>
          <cell r="B47" t="str">
            <v>Earthworks</v>
          </cell>
          <cell r="C47" t="str">
            <v xml:space="preserve">Excavation of contaminated materials (earthen materials contaminated by metals, hydrocarbons, putrescible waste management etc) </v>
          </cell>
          <cell r="D47" t="str">
            <v>m3</v>
          </cell>
          <cell r="E47">
            <v>1.951125</v>
          </cell>
          <cell r="F47">
            <v>0</v>
          </cell>
          <cell r="G47">
            <v>0.79574999999999996</v>
          </cell>
          <cell r="H47">
            <v>0</v>
          </cell>
          <cell r="I47">
            <v>2.7468750000000002</v>
          </cell>
          <cell r="J47">
            <v>1.951125</v>
          </cell>
          <cell r="K47">
            <v>0</v>
          </cell>
          <cell r="L47">
            <v>0.79574999999999996</v>
          </cell>
          <cell r="M47">
            <v>0</v>
          </cell>
          <cell r="N47">
            <v>2.7468750000000002</v>
          </cell>
          <cell r="O47">
            <v>0.1</v>
          </cell>
          <cell r="P47">
            <v>3.0215625000000004</v>
          </cell>
          <cell r="Q47" t="str">
            <v>m3</v>
          </cell>
          <cell r="S47" t="str">
            <v>This assumes material can be removed to an approved dump on the mine site.  If such material needs to be transported off site, a separate quotation should be obtained for this activity.</v>
          </cell>
        </row>
        <row r="48">
          <cell r="A48" t="str">
            <v>A1039</v>
          </cell>
          <cell r="B48" t="str">
            <v>Demolition</v>
          </cell>
          <cell r="C48" t="str">
            <v xml:space="preserve">Demolition of Haul and Access Roads </v>
          </cell>
          <cell r="D48" t="str">
            <v>km</v>
          </cell>
          <cell r="E48">
            <v>5946.2857142857138</v>
          </cell>
          <cell r="F48">
            <v>0</v>
          </cell>
          <cell r="G48">
            <v>2425.1428571428569</v>
          </cell>
          <cell r="H48">
            <v>0</v>
          </cell>
          <cell r="I48">
            <v>8371.4285714285706</v>
          </cell>
          <cell r="J48">
            <v>5946.2857142857138</v>
          </cell>
          <cell r="K48">
            <v>0</v>
          </cell>
          <cell r="L48">
            <v>2425.1428571428569</v>
          </cell>
          <cell r="M48">
            <v>0</v>
          </cell>
          <cell r="N48">
            <v>8371.4285714285706</v>
          </cell>
          <cell r="O48">
            <v>0.1</v>
          </cell>
          <cell r="P48">
            <v>9208.5714285714275</v>
          </cell>
          <cell r="Q48" t="str">
            <v>km</v>
          </cell>
          <cell r="S48" t="str">
            <v>This activity covers the digging up of haul and access roads, loading into a truck and carting to a designated dump site.  It also makes allowance for tiding up the dump site.  A standard width of road is assumed for the purpose of the activity.</v>
          </cell>
        </row>
        <row r="49">
          <cell r="A49" t="str">
            <v>A1040</v>
          </cell>
          <cell r="B49" t="str">
            <v>Re-Vegetation</v>
          </cell>
          <cell r="C49" t="str">
            <v>Scarification and ripping of Haul and Access Roads</v>
          </cell>
          <cell r="D49" t="str">
            <v>km</v>
          </cell>
          <cell r="E49">
            <v>187.30799999999999</v>
          </cell>
          <cell r="F49">
            <v>0</v>
          </cell>
          <cell r="G49">
            <v>254.64</v>
          </cell>
          <cell r="H49">
            <v>0</v>
          </cell>
          <cell r="I49">
            <v>441.94799999999998</v>
          </cell>
          <cell r="J49">
            <v>187.30799999999999</v>
          </cell>
          <cell r="K49">
            <v>0</v>
          </cell>
          <cell r="L49">
            <v>254.64</v>
          </cell>
          <cell r="M49">
            <v>0</v>
          </cell>
          <cell r="N49">
            <v>441.94799999999998</v>
          </cell>
          <cell r="O49">
            <v>0.1</v>
          </cell>
          <cell r="P49">
            <v>486.14279999999997</v>
          </cell>
          <cell r="Q49" t="str">
            <v>km</v>
          </cell>
          <cell r="S49" t="str">
            <v>This activity is specifically minor shaping and for the scarification and where necessary the deep ripping of Haul and Access roads to allow natural re-vegetation to occurr.   It is appropriate for access roads and tracks of a width of 5 metres and of minimal construction.  (Access to drill locations and minor areas) ( For major constructed haul roads  20m in width use A1039)</v>
          </cell>
        </row>
        <row r="50">
          <cell r="A50" t="str">
            <v>A1041</v>
          </cell>
          <cell r="B50" t="str">
            <v>Demolition</v>
          </cell>
          <cell r="C50" t="str">
            <v>Demolition of Industrial and Other buildings and remove waste to designated dump on site.</v>
          </cell>
          <cell r="D50" t="str">
            <v>m2</v>
          </cell>
          <cell r="E50">
            <v>28.096249999999998</v>
          </cell>
          <cell r="F50">
            <v>0</v>
          </cell>
          <cell r="G50">
            <v>17.241499999999998</v>
          </cell>
          <cell r="H50">
            <v>0</v>
          </cell>
          <cell r="I50">
            <v>45.33775</v>
          </cell>
          <cell r="J50">
            <v>28.096249999999998</v>
          </cell>
          <cell r="K50">
            <v>0</v>
          </cell>
          <cell r="L50">
            <v>17.241499999999998</v>
          </cell>
          <cell r="M50">
            <v>0</v>
          </cell>
          <cell r="N50">
            <v>45.33775</v>
          </cell>
          <cell r="O50">
            <v>0.1</v>
          </cell>
          <cell r="P50">
            <v>49.871524999999998</v>
          </cell>
          <cell r="Q50" t="str">
            <v>m2</v>
          </cell>
          <cell r="S50" t="str">
            <v xml:space="preserve">This activity covers the demolition of industrial and other buildings (up to 5 levels) on the site that are not salvageable or removed from the site.  The buildings are demolished and transported to a designated dump on the mine site. </v>
          </cell>
        </row>
        <row r="51">
          <cell r="A51" t="str">
            <v>A1042</v>
          </cell>
          <cell r="B51" t="str">
            <v>Demolition</v>
          </cell>
          <cell r="C51" t="str">
            <v>Disconnection and Termination of Main Electrical Power</v>
          </cell>
          <cell r="D51" t="str">
            <v>Item</v>
          </cell>
          <cell r="E51">
            <v>0</v>
          </cell>
          <cell r="F51">
            <v>244.85</v>
          </cell>
          <cell r="G51">
            <v>0</v>
          </cell>
          <cell r="H51">
            <v>954.90000000000009</v>
          </cell>
          <cell r="I51">
            <v>1199.75</v>
          </cell>
          <cell r="J51">
            <v>0</v>
          </cell>
          <cell r="K51">
            <v>244.85</v>
          </cell>
          <cell r="L51">
            <v>0</v>
          </cell>
          <cell r="M51">
            <v>954.90000000000009</v>
          </cell>
          <cell r="N51">
            <v>1199.75</v>
          </cell>
          <cell r="O51">
            <v>0.1</v>
          </cell>
          <cell r="P51">
            <v>1319.7249999999999</v>
          </cell>
          <cell r="Q51" t="str">
            <v>Item</v>
          </cell>
          <cell r="S51" t="str">
            <v>This activity covers the main disconnection of Electrical Power to a small site or in the case of a very large mine a significant portion of the site.  Rate is per power supply connection. Excludes removal. Excludes power to site. (It is not applicable to the disconnection of a building etc)</v>
          </cell>
        </row>
        <row r="52">
          <cell r="A52" t="str">
            <v>A1043</v>
          </cell>
          <cell r="B52" t="str">
            <v>Demolition</v>
          </cell>
          <cell r="C52" t="str">
            <v>Substations and Transformers - Demolish and Remove</v>
          </cell>
          <cell r="D52" t="str">
            <v>m2</v>
          </cell>
          <cell r="E52">
            <v>29.136799999999997</v>
          </cell>
          <cell r="F52">
            <v>0</v>
          </cell>
          <cell r="G52">
            <v>16.445499999999999</v>
          </cell>
          <cell r="H52">
            <v>0</v>
          </cell>
          <cell r="I52">
            <v>45.582299999999996</v>
          </cell>
          <cell r="J52">
            <v>29.136799999999997</v>
          </cell>
          <cell r="K52">
            <v>0</v>
          </cell>
          <cell r="L52">
            <v>16.445499999999999</v>
          </cell>
          <cell r="M52">
            <v>0</v>
          </cell>
          <cell r="N52">
            <v>45.582299999999996</v>
          </cell>
          <cell r="O52">
            <v>0.1</v>
          </cell>
          <cell r="P52">
            <v>50.140529999999998</v>
          </cell>
          <cell r="Q52" t="str">
            <v>m2</v>
          </cell>
          <cell r="S52" t="str">
            <v>This activity covers the main disconnection of Electrical Power to a small site or in the case of a very large mine a significant portion of the site.  (It is not applicable to the disconnection of a building etc)  The substation including buildings and pads are demolished and any item not salvageable is dumped on the mine site in a designated area.</v>
          </cell>
        </row>
        <row r="53">
          <cell r="A53" t="str">
            <v>A1044</v>
          </cell>
          <cell r="B53" t="str">
            <v>Demolition</v>
          </cell>
          <cell r="C53" t="str">
            <v xml:space="preserve">Removal of Underground Cables </v>
          </cell>
          <cell r="D53" t="str">
            <v>lin m</v>
          </cell>
          <cell r="E53">
            <v>10.752866666666666</v>
          </cell>
          <cell r="F53">
            <v>0</v>
          </cell>
          <cell r="G53">
            <v>14.146666666666667</v>
          </cell>
          <cell r="H53">
            <v>0</v>
          </cell>
          <cell r="I53">
            <v>24.899533333333331</v>
          </cell>
          <cell r="J53">
            <v>10.752866666666666</v>
          </cell>
          <cell r="K53">
            <v>0</v>
          </cell>
          <cell r="L53">
            <v>14.146666666666667</v>
          </cell>
          <cell r="M53">
            <v>0</v>
          </cell>
          <cell r="N53">
            <v>24.899533333333331</v>
          </cell>
          <cell r="O53">
            <v>0.1</v>
          </cell>
          <cell r="P53">
            <v>27.389486666666663</v>
          </cell>
          <cell r="Q53" t="str">
            <v>lin m</v>
          </cell>
          <cell r="S53" t="str">
            <v>This activity covers the removal of underground electrical cables from a site.  Specifically cables from a sub-station to the plant, to the offices, etc are included in this activity.  It is based on digging up and pulling up the cables and loading onto a truck for disposal either off-site or on site.  It also includes making good the trench where the cables have been pulled.</v>
          </cell>
        </row>
        <row r="54">
          <cell r="A54" t="str">
            <v>A1045</v>
          </cell>
          <cell r="B54" t="str">
            <v>Demolition</v>
          </cell>
          <cell r="C54" t="str">
            <v>Removal of Overhead Cables/wires including poles as required</v>
          </cell>
          <cell r="D54" t="str">
            <v>lin m</v>
          </cell>
          <cell r="E54">
            <v>12.747349999999999</v>
          </cell>
          <cell r="F54">
            <v>0</v>
          </cell>
          <cell r="G54">
            <v>6.8964999999999996</v>
          </cell>
          <cell r="H54">
            <v>0</v>
          </cell>
          <cell r="I54">
            <v>19.64385</v>
          </cell>
          <cell r="J54">
            <v>12.747349999999999</v>
          </cell>
          <cell r="K54">
            <v>0</v>
          </cell>
          <cell r="L54">
            <v>6.8964999999999996</v>
          </cell>
          <cell r="M54">
            <v>0</v>
          </cell>
          <cell r="N54">
            <v>19.64385</v>
          </cell>
          <cell r="O54">
            <v>0.1</v>
          </cell>
          <cell r="P54">
            <v>21.608235000000001</v>
          </cell>
          <cell r="Q54" t="str">
            <v>lin m</v>
          </cell>
          <cell r="S54" t="str">
            <v>This activity covers the removal of overhead wires and/or cables from the mine site.  It includes pulling down of the wire rolling it up and removing both from the site.  This does not cover the main high voltage lines from the power authority.</v>
          </cell>
        </row>
        <row r="55">
          <cell r="A55" t="str">
            <v>A1046</v>
          </cell>
          <cell r="B55" t="str">
            <v>Demolition</v>
          </cell>
          <cell r="C55" t="str">
            <v>Demolition and Removal of Water Tanks (Metal or Concrete)</v>
          </cell>
          <cell r="D55" t="str">
            <v>m2</v>
          </cell>
          <cell r="E55">
            <v>107.52866666666667</v>
          </cell>
          <cell r="F55">
            <v>0</v>
          </cell>
          <cell r="G55">
            <v>109.63666666666667</v>
          </cell>
          <cell r="H55">
            <v>0</v>
          </cell>
          <cell r="I55">
            <v>217.16533333333334</v>
          </cell>
          <cell r="J55">
            <v>107.52866666666667</v>
          </cell>
          <cell r="K55">
            <v>0</v>
          </cell>
          <cell r="L55">
            <v>109.63666666666667</v>
          </cell>
          <cell r="M55">
            <v>0</v>
          </cell>
          <cell r="N55">
            <v>217.16533333333334</v>
          </cell>
          <cell r="O55">
            <v>0.1</v>
          </cell>
          <cell r="P55">
            <v>238.88186666666667</v>
          </cell>
          <cell r="Q55" t="str">
            <v>m2</v>
          </cell>
          <cell r="S55" t="str">
            <v xml:space="preserve">This activity covers the demolition and removal of tanks used in either the fresh or waste water treatment plants.  Rate assumes already decommissioned (drained and cleaned ready for demolition). </v>
          </cell>
        </row>
        <row r="56">
          <cell r="A56" t="str">
            <v>A1047</v>
          </cell>
          <cell r="B56" t="str">
            <v>Demolition</v>
          </cell>
          <cell r="C56" t="str">
            <v>Removal of Water Treatment Plant (Fresh and Waste Water Plants)</v>
          </cell>
          <cell r="D56" t="str">
            <v>MLD</v>
          </cell>
          <cell r="E56">
            <v>3882.0161111111111</v>
          </cell>
          <cell r="F56">
            <v>0</v>
          </cell>
          <cell r="G56">
            <v>1606.6571428571428</v>
          </cell>
          <cell r="H56">
            <v>0</v>
          </cell>
          <cell r="I56">
            <v>5488.6732539682544</v>
          </cell>
          <cell r="J56">
            <v>3882.0161111111111</v>
          </cell>
          <cell r="K56">
            <v>0</v>
          </cell>
          <cell r="L56">
            <v>1606.6571428571428</v>
          </cell>
          <cell r="M56">
            <v>0</v>
          </cell>
          <cell r="N56">
            <v>5488.6732539682544</v>
          </cell>
          <cell r="O56">
            <v>0.1</v>
          </cell>
          <cell r="P56">
            <v>6037.5405793650798</v>
          </cell>
          <cell r="Q56" t="str">
            <v>MLD</v>
          </cell>
          <cell r="S56" t="str">
            <v xml:space="preserve">This activity covers the removal of both fresh and waste water treatment plants.  Rate is based on plant capacity in megalitres/day. </v>
          </cell>
        </row>
        <row r="57">
          <cell r="A57" t="str">
            <v>A1048</v>
          </cell>
          <cell r="B57" t="str">
            <v>Demolition</v>
          </cell>
          <cell r="C57" t="str">
            <v>Removal of submersible pumps (and/or Injection piping) from a bore</v>
          </cell>
          <cell r="D57" t="str">
            <v>Item</v>
          </cell>
          <cell r="E57">
            <v>447.45800000000003</v>
          </cell>
          <cell r="F57">
            <v>0</v>
          </cell>
          <cell r="G57">
            <v>424.4</v>
          </cell>
          <cell r="H57">
            <v>0</v>
          </cell>
          <cell r="I57">
            <v>871.85799999999995</v>
          </cell>
          <cell r="J57">
            <v>447.45800000000003</v>
          </cell>
          <cell r="K57">
            <v>0</v>
          </cell>
          <cell r="L57">
            <v>424.4</v>
          </cell>
          <cell r="M57">
            <v>0</v>
          </cell>
          <cell r="N57">
            <v>871.85799999999995</v>
          </cell>
          <cell r="O57">
            <v>0.1</v>
          </cell>
          <cell r="P57">
            <v>959.04379999999992</v>
          </cell>
          <cell r="Q57" t="str">
            <v>Item</v>
          </cell>
          <cell r="S57" t="str">
            <v>This activity covers the removal of a submersible pump from a bore including the attached downhole piping and can be applied to any bore hole that has specific downhole injection equipment.  The activity makes an allowance for the removal of the power cable from the bore to any well housing.</v>
          </cell>
        </row>
        <row r="58">
          <cell r="A58" t="str">
            <v>A1049</v>
          </cell>
          <cell r="B58" t="str">
            <v>Demolition</v>
          </cell>
          <cell r="C58" t="str">
            <v>Sealing and Plugging of a Well or Bore using Grout or Concrete</v>
          </cell>
          <cell r="D58" t="str">
            <v>No. of</v>
          </cell>
          <cell r="E58">
            <v>4.8908199999999997</v>
          </cell>
          <cell r="F58">
            <v>6.2314815950920242</v>
          </cell>
          <cell r="G58">
            <v>3.3952</v>
          </cell>
          <cell r="H58">
            <v>0</v>
          </cell>
          <cell r="I58">
            <v>14.517501595092025</v>
          </cell>
          <cell r="J58">
            <v>4.8908199999999997</v>
          </cell>
          <cell r="K58">
            <v>6.2314815950920242</v>
          </cell>
          <cell r="L58">
            <v>3.3952</v>
          </cell>
          <cell r="M58">
            <v>0</v>
          </cell>
          <cell r="N58">
            <v>14.517501595092025</v>
          </cell>
          <cell r="O58">
            <v>0.1</v>
          </cell>
          <cell r="P58">
            <v>15.969251754601228</v>
          </cell>
          <cell r="Q58" t="str">
            <v>No. of</v>
          </cell>
          <cell r="S58" t="str">
            <v xml:space="preserve">This activiity covers the sealing of a bore or a well using a grout.  The assumpiton is that the bore or well is fully grouted to ensure that it is fully sealed. </v>
          </cell>
        </row>
        <row r="59">
          <cell r="A59" t="str">
            <v>A1050</v>
          </cell>
          <cell r="B59" t="str">
            <v>Demolition</v>
          </cell>
          <cell r="C59" t="str">
            <v xml:space="preserve">Removal and demolition of Pump Station </v>
          </cell>
          <cell r="D59" t="str">
            <v>Item</v>
          </cell>
          <cell r="E59">
            <v>693.73333333333335</v>
          </cell>
          <cell r="F59">
            <v>0</v>
          </cell>
          <cell r="G59">
            <v>495.13333333333333</v>
          </cell>
          <cell r="H59">
            <v>0</v>
          </cell>
          <cell r="I59">
            <v>1188.8666666666668</v>
          </cell>
          <cell r="J59">
            <v>693.73333333333335</v>
          </cell>
          <cell r="K59">
            <v>0</v>
          </cell>
          <cell r="L59">
            <v>495.13333333333333</v>
          </cell>
          <cell r="M59">
            <v>0</v>
          </cell>
          <cell r="N59">
            <v>1188.8666666666668</v>
          </cell>
          <cell r="O59">
            <v>0.1</v>
          </cell>
          <cell r="P59">
            <v>1307.7533333333336</v>
          </cell>
          <cell r="Q59" t="str">
            <v>Item</v>
          </cell>
          <cell r="S59" t="str">
            <v>This activity involves the removal and demolition of an above ground pump station used in connection with a borefield and or wellhead injection system. ( It does not include the demolition of a substantial pumping structure or building which will need additional cost estimates)</v>
          </cell>
        </row>
        <row r="60">
          <cell r="A60" t="str">
            <v>A1051</v>
          </cell>
          <cell r="B60" t="str">
            <v>Water Management</v>
          </cell>
          <cell r="C60" t="str">
            <v>Construction of inflow and outflow/spillway structures for water storage facilities</v>
          </cell>
          <cell r="D60" t="str">
            <v>m2</v>
          </cell>
          <cell r="E60">
            <v>29.657000000000004</v>
          </cell>
          <cell r="F60">
            <v>61.199999999999996</v>
          </cell>
          <cell r="G60">
            <v>12.731999999999999</v>
          </cell>
          <cell r="H60">
            <v>0</v>
          </cell>
          <cell r="I60">
            <v>103.589</v>
          </cell>
          <cell r="J60">
            <v>29.657000000000004</v>
          </cell>
          <cell r="K60">
            <v>61.199999999999996</v>
          </cell>
          <cell r="L60">
            <v>12.731999999999999</v>
          </cell>
          <cell r="M60">
            <v>0</v>
          </cell>
          <cell r="N60">
            <v>103.589</v>
          </cell>
          <cell r="O60">
            <v>0.1</v>
          </cell>
          <cell r="P60">
            <v>113.9479</v>
          </cell>
          <cell r="Q60" t="str">
            <v>m2</v>
          </cell>
          <cell r="S60" t="str">
            <v>This activity covers the construction of inflow and outflow/spillway structures to ensure the long term stability of the water storage facilities.  The structures should be in accordance with the engineering design and suitable for the long term.</v>
          </cell>
        </row>
        <row r="61">
          <cell r="A61" t="str">
            <v>A1052</v>
          </cell>
          <cell r="B61" t="str">
            <v>Water Management</v>
          </cell>
          <cell r="C61" t="str">
            <v>Removal of Sediments from Bottom of Dam</v>
          </cell>
          <cell r="D61" t="str">
            <v>m3</v>
          </cell>
          <cell r="E61">
            <v>3.419114285714286</v>
          </cell>
          <cell r="F61">
            <v>0</v>
          </cell>
          <cell r="G61">
            <v>1.3641428571428571</v>
          </cell>
          <cell r="H61">
            <v>0</v>
          </cell>
          <cell r="I61">
            <v>4.7832571428571429</v>
          </cell>
          <cell r="J61">
            <v>3.419114285714286</v>
          </cell>
          <cell r="K61">
            <v>0</v>
          </cell>
          <cell r="L61">
            <v>1.3641428571428571</v>
          </cell>
          <cell r="M61">
            <v>0</v>
          </cell>
          <cell r="N61">
            <v>4.7832571428571429</v>
          </cell>
          <cell r="O61">
            <v>0.1</v>
          </cell>
          <cell r="P61">
            <v>5.2615828571428569</v>
          </cell>
          <cell r="Q61" t="str">
            <v>m3</v>
          </cell>
          <cell r="S61" t="str">
            <v>This activity covers the situation when sediments are to be removed from the bottom of a dam either for the dam to continue as a fresh water dam or to remove to a dump site for other treatment.</v>
          </cell>
        </row>
        <row r="62">
          <cell r="A62" t="str">
            <v>A1053</v>
          </cell>
          <cell r="B62" t="str">
            <v>Water Management</v>
          </cell>
          <cell r="C62" t="str">
            <v>Pumping of liquid from a Dam to waste storage or evaporation pond</v>
          </cell>
          <cell r="D62" t="str">
            <v>ML</v>
          </cell>
          <cell r="E62">
            <v>86.716666666666654</v>
          </cell>
          <cell r="F62">
            <v>19.125</v>
          </cell>
          <cell r="G62">
            <v>0</v>
          </cell>
          <cell r="H62">
            <v>0</v>
          </cell>
          <cell r="I62">
            <v>105.84166666666665</v>
          </cell>
          <cell r="J62">
            <v>86.716666666666654</v>
          </cell>
          <cell r="K62">
            <v>19.125</v>
          </cell>
          <cell r="L62">
            <v>0</v>
          </cell>
          <cell r="M62">
            <v>0</v>
          </cell>
          <cell r="N62">
            <v>105.84166666666665</v>
          </cell>
          <cell r="O62">
            <v>0.1</v>
          </cell>
          <cell r="P62">
            <v>116.42583333333332</v>
          </cell>
          <cell r="Q62" t="str">
            <v>ML</v>
          </cell>
          <cell r="S62" t="str">
            <v>This activity covers the costs of pumping out a dam or water/liquid storage facility prior to demolition.</v>
          </cell>
        </row>
        <row r="63">
          <cell r="A63" t="str">
            <v>A1054</v>
          </cell>
          <cell r="B63" t="str">
            <v>Demolition</v>
          </cell>
          <cell r="C63" t="str">
            <v>Removal of Transportable Buildings and/or Containers - Loading &amp; Transport Cost</v>
          </cell>
          <cell r="D63" t="str">
            <v>Items</v>
          </cell>
          <cell r="E63">
            <v>728.42</v>
          </cell>
          <cell r="F63">
            <v>0</v>
          </cell>
          <cell r="G63">
            <v>381.96</v>
          </cell>
          <cell r="H63">
            <v>0</v>
          </cell>
          <cell r="I63">
            <v>1110.3799999999999</v>
          </cell>
          <cell r="J63">
            <v>728.42</v>
          </cell>
          <cell r="K63">
            <v>0</v>
          </cell>
          <cell r="L63">
            <v>381.96</v>
          </cell>
          <cell r="M63">
            <v>0</v>
          </cell>
          <cell r="N63">
            <v>1110.3799999999999</v>
          </cell>
          <cell r="O63">
            <v>0.1</v>
          </cell>
          <cell r="P63">
            <v>1221.4179999999999</v>
          </cell>
          <cell r="Q63" t="str">
            <v>Items</v>
          </cell>
          <cell r="S63" t="str">
            <v>This activity covers the costs of removing transportable buildings and/or containers.  It assumes that these buildings can be lifted onto trucks and transported from the site for storage and/or sale.  The only costs included are the cost of loading onto a truck and transporting away.</v>
          </cell>
        </row>
        <row r="64">
          <cell r="A64" t="str">
            <v>A1055</v>
          </cell>
          <cell r="B64" t="str">
            <v>Preliminaries</v>
          </cell>
          <cell r="C64" t="str">
            <v xml:space="preserve">Transport costs associated with Transportable buildings and containers </v>
          </cell>
          <cell r="D64" t="str">
            <v>/km/Item</v>
          </cell>
          <cell r="E64">
            <v>6.0701666666666654</v>
          </cell>
          <cell r="F64">
            <v>0</v>
          </cell>
          <cell r="G64">
            <v>3.1829999999999998</v>
          </cell>
          <cell r="H64">
            <v>0</v>
          </cell>
          <cell r="I64">
            <v>9.2531666666666652</v>
          </cell>
          <cell r="J64">
            <v>6.0701666666666654</v>
          </cell>
          <cell r="K64">
            <v>0</v>
          </cell>
          <cell r="L64">
            <v>3.1829999999999998</v>
          </cell>
          <cell r="M64">
            <v>0</v>
          </cell>
          <cell r="N64">
            <v>9.2531666666666652</v>
          </cell>
          <cell r="O64">
            <v>0.1</v>
          </cell>
          <cell r="P64">
            <v>10.178483333333332</v>
          </cell>
          <cell r="Q64" t="str">
            <v>/km/Item</v>
          </cell>
          <cell r="S64" t="str">
            <v>This activity covers the transport costs of removing transportable buildings and/or containers.  It covers the transport distances for activity A1054.</v>
          </cell>
        </row>
        <row r="65">
          <cell r="A65" t="str">
            <v>A1056</v>
          </cell>
          <cell r="B65" t="str">
            <v>Demolition</v>
          </cell>
          <cell r="C65" t="str">
            <v>Load and Remove Rubbish and/or waste from the site to an external dump</v>
          </cell>
          <cell r="D65" t="str">
            <v>m3</v>
          </cell>
          <cell r="E65">
            <v>3.1219999999999999</v>
          </cell>
          <cell r="F65">
            <v>51.01</v>
          </cell>
          <cell r="G65">
            <v>5.8354999999999997</v>
          </cell>
          <cell r="H65">
            <v>0</v>
          </cell>
          <cell r="I65">
            <v>59.967500000000001</v>
          </cell>
          <cell r="J65">
            <v>3.1219999999999999</v>
          </cell>
          <cell r="K65">
            <v>51.01</v>
          </cell>
          <cell r="L65">
            <v>5.8354999999999997</v>
          </cell>
          <cell r="M65">
            <v>0</v>
          </cell>
          <cell r="N65">
            <v>59.967500000000001</v>
          </cell>
          <cell r="O65">
            <v>0.1</v>
          </cell>
          <cell r="P65">
            <v>65.964250000000007</v>
          </cell>
          <cell r="Q65" t="str">
            <v>m3</v>
          </cell>
          <cell r="S65" t="str">
            <v>This activity covers the situation when waste and rubbish needs to be fully collected and removed from the site and it is not possible to dispose of it on site.</v>
          </cell>
        </row>
        <row r="66">
          <cell r="A66" t="str">
            <v>A1057</v>
          </cell>
          <cell r="B66" t="str">
            <v>Demolition</v>
          </cell>
          <cell r="C66" t="str">
            <v>Semi Trailer Transport Costs of Waste to External Dump</v>
          </cell>
          <cell r="D66" t="str">
            <v>$/m3</v>
          </cell>
          <cell r="E66">
            <v>0</v>
          </cell>
          <cell r="F66">
            <v>0</v>
          </cell>
          <cell r="G66">
            <v>0</v>
          </cell>
          <cell r="H66">
            <v>6.7170824691358018</v>
          </cell>
          <cell r="I66">
            <v>6.7170824691358018</v>
          </cell>
          <cell r="J66">
            <v>0</v>
          </cell>
          <cell r="K66">
            <v>0</v>
          </cell>
          <cell r="L66">
            <v>0</v>
          </cell>
          <cell r="M66">
            <v>6.7170824691358018</v>
          </cell>
          <cell r="N66">
            <v>6.7170824691358018</v>
          </cell>
          <cell r="O66">
            <v>0.1</v>
          </cell>
          <cell r="P66">
            <v>7.3887907160493818</v>
          </cell>
          <cell r="Q66" t="str">
            <v>$/m3</v>
          </cell>
          <cell r="S66" t="str">
            <v>This activity covers the transport costs of removing rubbish from the site using a semi tipper.  It covers the transport distances for activity A1056.</v>
          </cell>
        </row>
        <row r="67">
          <cell r="A67" t="str">
            <v>A1058</v>
          </cell>
          <cell r="B67" t="str">
            <v>Earthworks</v>
          </cell>
          <cell r="C67" t="str">
            <v>Deep Ripping of Hardstand area for Rehabilitation</v>
          </cell>
          <cell r="D67" t="str">
            <v>Ha</v>
          </cell>
          <cell r="E67">
            <v>346.86666666666667</v>
          </cell>
          <cell r="F67">
            <v>0</v>
          </cell>
          <cell r="G67">
            <v>212.2</v>
          </cell>
          <cell r="H67">
            <v>0</v>
          </cell>
          <cell r="I67">
            <v>559.06666666666661</v>
          </cell>
          <cell r="J67">
            <v>346.86666666666667</v>
          </cell>
          <cell r="K67">
            <v>0</v>
          </cell>
          <cell r="L67">
            <v>212.2</v>
          </cell>
          <cell r="M67">
            <v>0</v>
          </cell>
          <cell r="N67">
            <v>559.06666666666661</v>
          </cell>
          <cell r="O67">
            <v>0.1</v>
          </cell>
          <cell r="P67">
            <v>614.97333333333324</v>
          </cell>
          <cell r="Q67" t="str">
            <v>Ha</v>
          </cell>
          <cell r="S67" t="str">
            <v>This activity covers the situation where a hard stand area needs to be deep ripped by a dozer or appropriate machine.  It may be required to key in materials or situations where the ground is heavily compacted.</v>
          </cell>
        </row>
        <row r="68">
          <cell r="A68" t="str">
            <v>A1059</v>
          </cell>
          <cell r="B68" t="str">
            <v>Earthworks</v>
          </cell>
          <cell r="C68" t="str">
            <v>Minor Earthworks to Rehabilitate Drill Pads and other such areas (Generally &lt;500 m2) including scarification of the reformed land area.</v>
          </cell>
          <cell r="D68" t="str">
            <v>m2</v>
          </cell>
          <cell r="E68">
            <v>1.3874814814814815</v>
          </cell>
          <cell r="F68">
            <v>0</v>
          </cell>
          <cell r="G68">
            <v>0.47155555555555551</v>
          </cell>
          <cell r="H68">
            <v>0</v>
          </cell>
          <cell r="I68">
            <v>1.859037037037037</v>
          </cell>
          <cell r="J68">
            <v>1.3874814814814815</v>
          </cell>
          <cell r="K68">
            <v>0</v>
          </cell>
          <cell r="L68">
            <v>0.47155555555555551</v>
          </cell>
          <cell r="M68">
            <v>0</v>
          </cell>
          <cell r="N68">
            <v>1.859037037037037</v>
          </cell>
          <cell r="O68">
            <v>0.1</v>
          </cell>
          <cell r="P68">
            <v>2.0449407407407407</v>
          </cell>
          <cell r="Q68" t="str">
            <v>m2</v>
          </cell>
          <cell r="S68" t="str">
            <v>This activity covers the minor earthworks required to rehabilitate exploration drill pads and other minor (&lt;500 m2) in often remote areas separate from the main mining operations and includes scarifying of the area to promote re-vegetation.</v>
          </cell>
        </row>
        <row r="69">
          <cell r="A69" t="str">
            <v>A1060</v>
          </cell>
          <cell r="B69" t="str">
            <v>Demolition</v>
          </cell>
          <cell r="C69" t="str">
            <v>Backfill, Cap and Seal Drill Holes  (Backfill hole with cuttings etc, cut off below ground level and seal the top of the hole before covering with soil and burying any remaining cuttings)</v>
          </cell>
          <cell r="D69" t="str">
            <v>Item</v>
          </cell>
          <cell r="E69">
            <v>19.325428571428571</v>
          </cell>
          <cell r="F69">
            <v>0</v>
          </cell>
          <cell r="G69">
            <v>46.760000000000005</v>
          </cell>
          <cell r="H69">
            <v>0</v>
          </cell>
          <cell r="I69">
            <v>66.085428571428579</v>
          </cell>
          <cell r="J69">
            <v>19.325428571428571</v>
          </cell>
          <cell r="K69">
            <v>0</v>
          </cell>
          <cell r="L69">
            <v>46.760000000000005</v>
          </cell>
          <cell r="M69">
            <v>0</v>
          </cell>
          <cell r="N69">
            <v>66.085428571428579</v>
          </cell>
          <cell r="O69">
            <v>0.1</v>
          </cell>
          <cell r="P69">
            <v>72.693971428571444</v>
          </cell>
          <cell r="Q69" t="str">
            <v>Item</v>
          </cell>
          <cell r="S69" t="str">
            <v>This activity can be applied to drill holes which do not need grouting.  The hole casing is to be  cut off 1 metre below ground level and sealed.  Remaining cuttings are buried by excavating a small scrape adjacent to the cuttings.  The ground is then reshaped over the hole and scraped to allow natural revegetation of the area and removal of all traces of the hole.  Any and all rubbish is to be removed to an approved dump.</v>
          </cell>
        </row>
        <row r="70">
          <cell r="A70" t="str">
            <v>A1061</v>
          </cell>
          <cell r="B70" t="str">
            <v>Demolition</v>
          </cell>
          <cell r="C70" t="str">
            <v>Grouting of Drill Holes and includes cutting off and sealing (For Drill holes that pass through aquifers)</v>
          </cell>
          <cell r="D70" t="str">
            <v>Item</v>
          </cell>
          <cell r="E70">
            <v>213.32299999999998</v>
          </cell>
          <cell r="F70">
            <v>489.7</v>
          </cell>
          <cell r="G70">
            <v>454.64</v>
          </cell>
          <cell r="H70">
            <v>0</v>
          </cell>
          <cell r="I70">
            <v>1157.663</v>
          </cell>
          <cell r="J70">
            <v>213.32299999999998</v>
          </cell>
          <cell r="K70">
            <v>489.7</v>
          </cell>
          <cell r="L70">
            <v>454.64</v>
          </cell>
          <cell r="M70">
            <v>0</v>
          </cell>
          <cell r="N70">
            <v>1157.663</v>
          </cell>
          <cell r="O70">
            <v>0.1</v>
          </cell>
          <cell r="P70">
            <v>1273.4293</v>
          </cell>
          <cell r="Q70" t="str">
            <v>Item</v>
          </cell>
          <cell r="S70" t="str">
            <v>This activity covers the grouting of holes that are drilled through aquifers and there is a need to prevent cross contamination of aquifers.</v>
          </cell>
        </row>
        <row r="71">
          <cell r="A71" t="str">
            <v>A1062</v>
          </cell>
          <cell r="B71" t="str">
            <v>Earthworks</v>
          </cell>
          <cell r="C71" t="str">
            <v xml:space="preserve">Sealing of Small Shafts and Adits </v>
          </cell>
          <cell r="D71" t="str">
            <v>m3</v>
          </cell>
          <cell r="E71">
            <v>1.3874666666666666</v>
          </cell>
          <cell r="F71">
            <v>0</v>
          </cell>
          <cell r="G71">
            <v>1.0910666666666666</v>
          </cell>
          <cell r="H71">
            <v>0</v>
          </cell>
          <cell r="I71">
            <v>2.478533333333333</v>
          </cell>
          <cell r="J71">
            <v>1.3874666666666666</v>
          </cell>
          <cell r="K71">
            <v>0</v>
          </cell>
          <cell r="L71">
            <v>1.0910666666666666</v>
          </cell>
          <cell r="M71">
            <v>0</v>
          </cell>
          <cell r="N71">
            <v>2.478533333333333</v>
          </cell>
          <cell r="O71">
            <v>0.1</v>
          </cell>
          <cell r="P71">
            <v>2.7263866666666665</v>
          </cell>
          <cell r="Q71" t="str">
            <v>m3</v>
          </cell>
          <cell r="S71" t="str">
            <v>This activity covers the winning of suitable material, transporting to the shaft or adit and then pushing the material into the shaft or adit to seal the access.  (Sealing a shaft or adit with concrete will need a special process)</v>
          </cell>
        </row>
        <row r="72">
          <cell r="A72" t="str">
            <v>A1063</v>
          </cell>
          <cell r="B72" t="str">
            <v>Earthworks</v>
          </cell>
          <cell r="C72" t="str">
            <v>Re-Instatement of Bulk Sample Pits where material needs to be brought in</v>
          </cell>
          <cell r="D72" t="str">
            <v>m3</v>
          </cell>
          <cell r="E72">
            <v>1.2140363636363636</v>
          </cell>
          <cell r="F72">
            <v>0</v>
          </cell>
          <cell r="G72">
            <v>0.38581818181818178</v>
          </cell>
          <cell r="H72">
            <v>0</v>
          </cell>
          <cell r="I72">
            <v>1.5998545454545454</v>
          </cell>
          <cell r="J72">
            <v>1.2140363636363636</v>
          </cell>
          <cell r="K72">
            <v>0</v>
          </cell>
          <cell r="L72">
            <v>0.38581818181818178</v>
          </cell>
          <cell r="M72">
            <v>0</v>
          </cell>
          <cell r="N72">
            <v>1.5998545454545454</v>
          </cell>
          <cell r="O72">
            <v>0.1</v>
          </cell>
          <cell r="P72">
            <v>1.7598400000000001</v>
          </cell>
          <cell r="Q72" t="str">
            <v>m3</v>
          </cell>
          <cell r="S72" t="str">
            <v>This activity involves the winning of suitable material, transporting the material to the sample pit, spreading the material and reinstatement of the burrow pit.</v>
          </cell>
        </row>
        <row r="73">
          <cell r="A73" t="str">
            <v>A1064</v>
          </cell>
          <cell r="B73" t="str">
            <v>Demolition</v>
          </cell>
          <cell r="C73" t="str">
            <v>Removal of a dam liner and minor pipework to enable the reinstatement of a water dam or other storage facility.</v>
          </cell>
          <cell r="D73" t="str">
            <v>Item</v>
          </cell>
          <cell r="E73">
            <v>0</v>
          </cell>
          <cell r="F73">
            <v>0</v>
          </cell>
          <cell r="G73">
            <v>0</v>
          </cell>
          <cell r="H73">
            <v>1500</v>
          </cell>
          <cell r="I73">
            <v>1500</v>
          </cell>
          <cell r="J73">
            <v>0</v>
          </cell>
          <cell r="K73">
            <v>0</v>
          </cell>
          <cell r="L73">
            <v>0</v>
          </cell>
          <cell r="M73">
            <v>1500</v>
          </cell>
          <cell r="N73">
            <v>1500</v>
          </cell>
          <cell r="O73">
            <v>0.1</v>
          </cell>
          <cell r="P73">
            <v>1650</v>
          </cell>
          <cell r="Q73" t="str">
            <v>Item</v>
          </cell>
          <cell r="S73" t="str">
            <v>This activity involves the removal and tidying up of a water storage area prior to bulk movement of material to reinstate the area back to natural surface.  It also includes the removal of any pipes, pumps and other items associated with the use of the dam.  IT is assumed that the liner if present will be cut and folded onto itself in the centre of the dam so that the liner can be buried.</v>
          </cell>
        </row>
        <row r="74">
          <cell r="A74" t="str">
            <v>A1065</v>
          </cell>
          <cell r="B74" t="str">
            <v>Water Management</v>
          </cell>
          <cell r="C74" t="str">
            <v xml:space="preserve">Re-establishment and repairs to heap leaching circuit </v>
          </cell>
          <cell r="D74" t="str">
            <v>Ha</v>
          </cell>
          <cell r="E74">
            <v>52.03</v>
          </cell>
          <cell r="F74">
            <v>1500</v>
          </cell>
          <cell r="G74">
            <v>254.64</v>
          </cell>
          <cell r="H74">
            <v>0</v>
          </cell>
          <cell r="I74">
            <v>1806.67</v>
          </cell>
          <cell r="J74">
            <v>52.03</v>
          </cell>
          <cell r="K74">
            <v>1500</v>
          </cell>
          <cell r="L74">
            <v>254.64</v>
          </cell>
          <cell r="M74">
            <v>0</v>
          </cell>
          <cell r="N74">
            <v>1806.67</v>
          </cell>
          <cell r="O74">
            <v>0.1</v>
          </cell>
          <cell r="P74">
            <v>1987.337</v>
          </cell>
          <cell r="Q74" t="str">
            <v>Ha</v>
          </cell>
          <cell r="S74" t="str">
            <v>This activity provides for the re-establishment of the pipework and pumping facilities to enable the flushing of a heap leach stockpile prior to reshaping and abandonment.  It assumes that much of the pipework is still present but provides for additional piping and work</v>
          </cell>
        </row>
        <row r="75">
          <cell r="A75" t="str">
            <v>A1066</v>
          </cell>
          <cell r="B75" t="str">
            <v>Water Management</v>
          </cell>
          <cell r="C75" t="str">
            <v>Flushing of solution or water through heap leach stockpiles to remove contaminated materials.</v>
          </cell>
          <cell r="D75" t="str">
            <v>month</v>
          </cell>
          <cell r="E75">
            <v>15608.999999999998</v>
          </cell>
          <cell r="F75">
            <v>0</v>
          </cell>
          <cell r="G75">
            <v>12731.999999999998</v>
          </cell>
          <cell r="H75">
            <v>0</v>
          </cell>
          <cell r="I75">
            <v>28340.999999999996</v>
          </cell>
          <cell r="J75">
            <v>15608.999999999998</v>
          </cell>
          <cell r="K75">
            <v>0</v>
          </cell>
          <cell r="L75">
            <v>12731.999999999998</v>
          </cell>
          <cell r="M75">
            <v>0</v>
          </cell>
          <cell r="N75">
            <v>28340.999999999996</v>
          </cell>
          <cell r="O75">
            <v>0.1</v>
          </cell>
          <cell r="P75">
            <v>31175.099999999995</v>
          </cell>
          <cell r="Q75" t="str">
            <v>month</v>
          </cell>
          <cell r="S75" t="str">
            <v>This activity provides for the flushing of water and/or solution through the heap leach stockpiles in order to flush any chemicals from the stockpile.  (Examples include cyanide, sulphuric acid, etc.)</v>
          </cell>
        </row>
        <row r="76">
          <cell r="A76" t="str">
            <v>A1067</v>
          </cell>
          <cell r="B76" t="str">
            <v>Water Management</v>
          </cell>
          <cell r="C76" t="str">
            <v xml:space="preserve">Treatment of water from Heap Leach stockpiles to neutralise water </v>
          </cell>
          <cell r="D76" t="str">
            <v>Months</v>
          </cell>
          <cell r="E76">
            <v>0</v>
          </cell>
          <cell r="F76">
            <v>3162.62</v>
          </cell>
          <cell r="G76">
            <v>1273.1999999999998</v>
          </cell>
          <cell r="H76">
            <v>0</v>
          </cell>
          <cell r="I76">
            <v>4435.82</v>
          </cell>
          <cell r="J76">
            <v>0</v>
          </cell>
          <cell r="K76">
            <v>3162.62</v>
          </cell>
          <cell r="L76">
            <v>1273.1999999999998</v>
          </cell>
          <cell r="M76">
            <v>0</v>
          </cell>
          <cell r="N76">
            <v>4435.82</v>
          </cell>
          <cell r="O76">
            <v>0.1</v>
          </cell>
          <cell r="P76">
            <v>4879.402</v>
          </cell>
          <cell r="Q76" t="str">
            <v>Months</v>
          </cell>
          <cell r="S76" t="str">
            <v>This activity provides an allowance for the treatment of water from the Heap leach stockpiles to neutralise the water.  (It is a compromise between dosing for pH adjustment, metals reduciton, cyanide destruction turbidity removal etc)</v>
          </cell>
        </row>
        <row r="77">
          <cell r="A77" t="str">
            <v>A1068</v>
          </cell>
          <cell r="B77" t="str">
            <v>Water Management</v>
          </cell>
          <cell r="C77" t="str">
            <v>Provision of water treatment equipment to treat water from heap leach (or TSF) operations.</v>
          </cell>
          <cell r="D77" t="str">
            <v>Sum</v>
          </cell>
          <cell r="E77">
            <v>176902</v>
          </cell>
          <cell r="F77">
            <v>0</v>
          </cell>
          <cell r="G77">
            <v>0</v>
          </cell>
          <cell r="H77">
            <v>0</v>
          </cell>
          <cell r="I77">
            <v>176902</v>
          </cell>
          <cell r="J77">
            <v>176902</v>
          </cell>
          <cell r="K77">
            <v>0</v>
          </cell>
          <cell r="L77">
            <v>0</v>
          </cell>
          <cell r="M77">
            <v>0</v>
          </cell>
          <cell r="N77">
            <v>176902</v>
          </cell>
          <cell r="O77">
            <v>0.1</v>
          </cell>
          <cell r="P77">
            <v>194592.2</v>
          </cell>
          <cell r="Q77" t="str">
            <v>Sum</v>
          </cell>
          <cell r="S77" t="str">
            <v>This provides for the capital cost of providing for dosing equipment to treat the run-off from heap leach operaitons while they are being flushed and cleaned out.</v>
          </cell>
        </row>
        <row r="78">
          <cell r="A78" t="str">
            <v>A1069</v>
          </cell>
          <cell r="B78" t="str">
            <v>Demolition</v>
          </cell>
          <cell r="C78" t="str">
            <v>Removal of well head, cutting the casing and backfilling the area</v>
          </cell>
          <cell r="D78" t="str">
            <v>Item</v>
          </cell>
          <cell r="E78">
            <v>67.638999999999996</v>
          </cell>
          <cell r="F78">
            <v>0</v>
          </cell>
          <cell r="G78">
            <v>116.71</v>
          </cell>
          <cell r="H78">
            <v>0</v>
          </cell>
          <cell r="I78">
            <v>184.34899999999999</v>
          </cell>
          <cell r="J78">
            <v>67.638999999999996</v>
          </cell>
          <cell r="K78">
            <v>0</v>
          </cell>
          <cell r="L78">
            <v>116.71</v>
          </cell>
          <cell r="M78">
            <v>0</v>
          </cell>
          <cell r="N78">
            <v>184.34899999999999</v>
          </cell>
          <cell r="O78">
            <v>0.1</v>
          </cell>
          <cell r="P78">
            <v>202.78389999999999</v>
          </cell>
          <cell r="Q78" t="str">
            <v>Item</v>
          </cell>
          <cell r="S78" t="str">
            <v>This activity is the final actiivity for a well or bore.  It involves breaking up and removing of any concrete cap, excavating approximately 1 metres below ground level, cutting the casing off at least 0.5 metres below ground level and backfilling the hole to ground level with fill material and available topsoil.</v>
          </cell>
        </row>
        <row r="79">
          <cell r="A79" t="str">
            <v>A1070</v>
          </cell>
          <cell r="B79" t="str">
            <v>Demolition</v>
          </cell>
          <cell r="C79" t="str">
            <v>Removal and Disposal of Major Trunk Pipelines</v>
          </cell>
          <cell r="D79" t="str">
            <v>m</v>
          </cell>
          <cell r="E79">
            <v>11.186450000000001</v>
          </cell>
          <cell r="F79">
            <v>0</v>
          </cell>
          <cell r="G79">
            <v>11.670999999999999</v>
          </cell>
          <cell r="H79">
            <v>0</v>
          </cell>
          <cell r="I79">
            <v>22.85745</v>
          </cell>
          <cell r="J79">
            <v>11.186450000000001</v>
          </cell>
          <cell r="K79">
            <v>0</v>
          </cell>
          <cell r="L79">
            <v>11.670999999999999</v>
          </cell>
          <cell r="M79">
            <v>0</v>
          </cell>
          <cell r="N79">
            <v>22.85745</v>
          </cell>
          <cell r="O79">
            <v>0.1</v>
          </cell>
          <cell r="P79">
            <v>25.143194999999999</v>
          </cell>
          <cell r="Q79" t="str">
            <v>m</v>
          </cell>
          <cell r="S79" t="str">
            <v>The activity relates specifically to the removal and disposal of trunk pipelines assumed to be plastic in nature but greater than 200 mm in diameter.   The pipework should be cut up or shredded.   If the pipe is very large or steel a separate demolition price should be prepared.  It does not inlcude pipework within a process plant.</v>
          </cell>
        </row>
        <row r="80">
          <cell r="A80" t="str">
            <v>A1071</v>
          </cell>
          <cell r="B80" t="str">
            <v>Demolition</v>
          </cell>
          <cell r="C80" t="str">
            <v>Preparation of Transportable units for Demolition and/or Transport off-site</v>
          </cell>
          <cell r="D80" t="str">
            <v>Item</v>
          </cell>
          <cell r="E80">
            <v>607.01666666666665</v>
          </cell>
          <cell r="F80">
            <v>0</v>
          </cell>
          <cell r="G80">
            <v>389.0333333333333</v>
          </cell>
          <cell r="H80">
            <v>0</v>
          </cell>
          <cell r="I80">
            <v>996.05</v>
          </cell>
          <cell r="J80">
            <v>607.01666666666665</v>
          </cell>
          <cell r="K80">
            <v>0</v>
          </cell>
          <cell r="L80">
            <v>389.0333333333333</v>
          </cell>
          <cell r="M80">
            <v>0</v>
          </cell>
          <cell r="N80">
            <v>996.05</v>
          </cell>
          <cell r="O80">
            <v>0.1</v>
          </cell>
          <cell r="P80">
            <v>1095.655</v>
          </cell>
          <cell r="Q80" t="str">
            <v>Item</v>
          </cell>
          <cell r="S80" t="str">
            <v>The activity relates specifically to the activity of preparing a transportable unit for demolition and/or transport off-site.  Activities such as the disconnection of verandahs, walkways, airconditioners and other add-ons.  Larger buildings may need to be split into transportable units.  The unit should then be ready to lift onto a truck to transport off-site.</v>
          </cell>
        </row>
        <row r="81">
          <cell r="A81" t="str">
            <v>A1072</v>
          </cell>
          <cell r="B81" t="str">
            <v>Water Management</v>
          </cell>
          <cell r="C81" t="str">
            <v>Construction of Water Diversion Channels/Drains</v>
          </cell>
          <cell r="D81" t="str">
            <v>lin m</v>
          </cell>
          <cell r="E81">
            <v>30.178000000000001</v>
          </cell>
          <cell r="F81">
            <v>4.08</v>
          </cell>
          <cell r="G81">
            <v>36.073999999999998</v>
          </cell>
          <cell r="H81">
            <v>0</v>
          </cell>
          <cell r="I81">
            <v>70.331999999999994</v>
          </cell>
          <cell r="J81">
            <v>30.178000000000001</v>
          </cell>
          <cell r="K81">
            <v>4.08</v>
          </cell>
          <cell r="L81">
            <v>36.073999999999998</v>
          </cell>
          <cell r="M81">
            <v>0</v>
          </cell>
          <cell r="N81">
            <v>70.331999999999994</v>
          </cell>
          <cell r="O81">
            <v>0.1</v>
          </cell>
          <cell r="P81">
            <v>77.365199999999987</v>
          </cell>
          <cell r="Q81" t="str">
            <v>lin m</v>
          </cell>
          <cell r="S81" t="str">
            <v xml:space="preserve">The activity covers the occasions when it is necessary to construct a diversion channel to either divert water away from an area or to channel water from one area to another.  The assumption is that the level of water flowing through the channel is limited rather than a creek flow or major outflow.  Some allowance has been made for the incorporation of minor rock or velocity limiting structures but not major spillways or energy dissipaters. </v>
          </cell>
        </row>
        <row r="82">
          <cell r="A82" t="str">
            <v>A1073</v>
          </cell>
          <cell r="B82" t="str">
            <v>Earthworks</v>
          </cell>
          <cell r="C82" t="str">
            <v>The sealing of a shaft or adit with loose material or rock fill</v>
          </cell>
          <cell r="D82" t="str">
            <v>m3</v>
          </cell>
          <cell r="E82">
            <v>1.8990999999999998</v>
          </cell>
          <cell r="F82">
            <v>0</v>
          </cell>
          <cell r="G82">
            <v>0.63659999999999994</v>
          </cell>
          <cell r="H82">
            <v>0</v>
          </cell>
          <cell r="I82">
            <v>2.5356999999999998</v>
          </cell>
          <cell r="J82">
            <v>1.8990999999999998</v>
          </cell>
          <cell r="K82">
            <v>0</v>
          </cell>
          <cell r="L82">
            <v>0.63659999999999994</v>
          </cell>
          <cell r="M82">
            <v>0</v>
          </cell>
          <cell r="N82">
            <v>2.5356999999999998</v>
          </cell>
          <cell r="O82">
            <v>0.1</v>
          </cell>
          <cell r="P82">
            <v>2.7892699999999997</v>
          </cell>
          <cell r="Q82" t="str">
            <v>m3</v>
          </cell>
          <cell r="S82" t="str">
            <v xml:space="preserve">This activity covers the sealing of a shaft using loose material or rock fill.  The assumption is that the whole of the shaft is to be filled, or section of the adit, with suitable material or rock fill.  The activity consists of sourcing material, carting a distance (defined), dumping the material adjacent to the shaft and pushing the material into the shaft.  </v>
          </cell>
        </row>
        <row r="83">
          <cell r="A83" t="str">
            <v>A1074</v>
          </cell>
          <cell r="B83" t="str">
            <v>Earthworks</v>
          </cell>
          <cell r="C83" t="str">
            <v>The sealing of a shaft with a Concrete Cap</v>
          </cell>
          <cell r="D83" t="str">
            <v>m2</v>
          </cell>
          <cell r="E83">
            <v>0</v>
          </cell>
          <cell r="F83">
            <v>300</v>
          </cell>
          <cell r="G83">
            <v>0</v>
          </cell>
          <cell r="H83">
            <v>1000</v>
          </cell>
          <cell r="I83">
            <v>1300</v>
          </cell>
          <cell r="J83">
            <v>0</v>
          </cell>
          <cell r="K83">
            <v>300</v>
          </cell>
          <cell r="L83">
            <v>0</v>
          </cell>
          <cell r="M83">
            <v>1000</v>
          </cell>
          <cell r="N83">
            <v>1300</v>
          </cell>
          <cell r="O83">
            <v>0.1</v>
          </cell>
          <cell r="P83">
            <v>1430</v>
          </cell>
          <cell r="Q83" t="str">
            <v>m2</v>
          </cell>
          <cell r="S83" t="str">
            <v>This activity covers the situation when  a concrete cap is installed to seal and cover a shaft.  It is assumed the concrete cap is 1 metre thick and supported by suitable formwork.  It is based on the size of the shaft with a contingency for oversize</v>
          </cell>
        </row>
        <row r="84">
          <cell r="A84" t="str">
            <v>A1075</v>
          </cell>
          <cell r="B84" t="str">
            <v>Earthworks</v>
          </cell>
          <cell r="C84" t="str">
            <v xml:space="preserve">Construction of a Concrete wall to seal a Portal </v>
          </cell>
          <cell r="D84" t="str">
            <v>m2</v>
          </cell>
          <cell r="E84">
            <v>176.82316666666668</v>
          </cell>
          <cell r="F84">
            <v>286.68557142857139</v>
          </cell>
          <cell r="G84">
            <v>244.02999999999997</v>
          </cell>
          <cell r="H84">
            <v>0</v>
          </cell>
          <cell r="I84">
            <v>707.53873809523805</v>
          </cell>
          <cell r="J84">
            <v>176.82316666666668</v>
          </cell>
          <cell r="K84">
            <v>286.68557142857139</v>
          </cell>
          <cell r="L84">
            <v>244.02999999999997</v>
          </cell>
          <cell r="M84">
            <v>0</v>
          </cell>
          <cell r="N84">
            <v>707.53873809523805</v>
          </cell>
          <cell r="O84">
            <v>0.1</v>
          </cell>
          <cell r="P84">
            <v>778.29261190476188</v>
          </cell>
          <cell r="Q84" t="str">
            <v>m2</v>
          </cell>
          <cell r="S84" t="str">
            <v xml:space="preserve">This activity covers the situation when it is necessary to construct a wall to seal a Portal - seal with 200mm reinforced concrete blocks. (Based on cross sectional area of portal opening. Excludes placement of rock/earthen material. Assumes no significant future head of water within workings above seal) </v>
          </cell>
        </row>
        <row r="85">
          <cell r="A85" t="str">
            <v>A1076</v>
          </cell>
          <cell r="B85" t="str">
            <v>Earthworks</v>
          </cell>
          <cell r="C85" t="str">
            <v>Excavation of pit on site for the onsite Burial and Disposal of Equipment and Waste.  The costs include excavation, depositing of the waste, and the covering.</v>
          </cell>
          <cell r="D85" t="str">
            <v>m3</v>
          </cell>
          <cell r="E85">
            <v>10.731225</v>
          </cell>
          <cell r="F85">
            <v>0</v>
          </cell>
          <cell r="G85">
            <v>4.7744999999999997</v>
          </cell>
          <cell r="H85">
            <v>0</v>
          </cell>
          <cell r="I85">
            <v>15.505725</v>
          </cell>
          <cell r="J85">
            <v>10.731225</v>
          </cell>
          <cell r="K85">
            <v>0</v>
          </cell>
          <cell r="L85">
            <v>4.7744999999999997</v>
          </cell>
          <cell r="M85">
            <v>0</v>
          </cell>
          <cell r="N85">
            <v>15.505725</v>
          </cell>
          <cell r="O85">
            <v>0.1</v>
          </cell>
          <cell r="P85">
            <v>17.056297499999999</v>
          </cell>
          <cell r="Q85" t="str">
            <v>m3</v>
          </cell>
          <cell r="S85" t="str">
            <v>This activity covers the situation when waste and/or equipment needs to be disposed of on site and buried (where approved).  This excavation therefore assumes a free digging site using an excavator and truck to remove sufficient material to enable the burying of any waste and disposed equipment.  The costs include the later covering and compaction of the waste  pit with the material previously dug out and it assumes any excess material can spread out over the site or used in other areas.</v>
          </cell>
        </row>
        <row r="86">
          <cell r="A86" t="str">
            <v>A1077</v>
          </cell>
          <cell r="B86" t="str">
            <v>Demolition</v>
          </cell>
          <cell r="C86" t="str">
            <v xml:space="preserve">Demolish concrete pads, normal shed floors, pathways and minor footings  </v>
          </cell>
          <cell r="D86" t="str">
            <v>m2</v>
          </cell>
          <cell r="E86">
            <v>16.857679999999998</v>
          </cell>
          <cell r="F86">
            <v>0</v>
          </cell>
          <cell r="G86">
            <v>9.7611999999999988</v>
          </cell>
          <cell r="H86">
            <v>0</v>
          </cell>
          <cell r="I86">
            <v>26.618879999999997</v>
          </cell>
          <cell r="J86">
            <v>16.857679999999998</v>
          </cell>
          <cell r="K86">
            <v>0</v>
          </cell>
          <cell r="L86">
            <v>9.7611999999999988</v>
          </cell>
          <cell r="M86">
            <v>0</v>
          </cell>
          <cell r="N86">
            <v>26.618879999999997</v>
          </cell>
          <cell r="O86">
            <v>0.1</v>
          </cell>
          <cell r="P86">
            <v>29.280767999999998</v>
          </cell>
          <cell r="Q86" t="str">
            <v>m2</v>
          </cell>
          <cell r="S86" t="str">
            <v>The activity include the demolition and removal of concrete floors in sheds, pathways, and minor footings.  (It does not cover major concrete equipment support bases)</v>
          </cell>
        </row>
        <row r="87">
          <cell r="A87" t="str">
            <v>A1078</v>
          </cell>
          <cell r="B87" t="str">
            <v>Demolition</v>
          </cell>
          <cell r="C87" t="str">
            <v>Disconnection of Services to Individual Camp, Office or Other units (Unit basis)</v>
          </cell>
          <cell r="D87" t="str">
            <v>Item</v>
          </cell>
          <cell r="E87">
            <v>67.638999999999996</v>
          </cell>
          <cell r="F87">
            <v>0</v>
          </cell>
          <cell r="G87">
            <v>201.58999999999997</v>
          </cell>
          <cell r="H87">
            <v>0</v>
          </cell>
          <cell r="I87">
            <v>269.22899999999998</v>
          </cell>
          <cell r="J87">
            <v>67.638999999999996</v>
          </cell>
          <cell r="K87">
            <v>0</v>
          </cell>
          <cell r="L87">
            <v>201.58999999999997</v>
          </cell>
          <cell r="M87">
            <v>0</v>
          </cell>
          <cell r="N87">
            <v>269.22899999999998</v>
          </cell>
          <cell r="O87">
            <v>0.1</v>
          </cell>
          <cell r="P87">
            <v>296.15189999999996</v>
          </cell>
          <cell r="Q87" t="str">
            <v>Item</v>
          </cell>
          <cell r="S87" t="str">
            <v>This Activity includes disconnecting and terminating all services such as power, water and sewer.  It covers the disconnection cost per unit and is applicable to camp, office or other individual units.</v>
          </cell>
        </row>
        <row r="88">
          <cell r="A88" t="str">
            <v>A1079</v>
          </cell>
          <cell r="B88" t="str">
            <v>Demolition</v>
          </cell>
          <cell r="C88" t="str">
            <v>Demolition, Removing and Dumping of ISO Well Houses or Filter Skids from Wellfields</v>
          </cell>
          <cell r="D88" t="str">
            <v>Hour</v>
          </cell>
          <cell r="E88">
            <v>8741.0399999999991</v>
          </cell>
          <cell r="F88">
            <v>0</v>
          </cell>
          <cell r="G88">
            <v>12598.25</v>
          </cell>
          <cell r="H88">
            <v>0</v>
          </cell>
          <cell r="I88">
            <v>21339.29</v>
          </cell>
          <cell r="J88">
            <v>8741.0399999999991</v>
          </cell>
          <cell r="K88">
            <v>0</v>
          </cell>
          <cell r="L88">
            <v>12598.25</v>
          </cell>
          <cell r="M88">
            <v>0</v>
          </cell>
          <cell r="N88">
            <v>21339.29</v>
          </cell>
          <cell r="O88">
            <v>0.1</v>
          </cell>
          <cell r="P88">
            <v>23473.219000000001</v>
          </cell>
          <cell r="Q88" t="str">
            <v>Hour</v>
          </cell>
          <cell r="S88" t="str">
            <v>This Activity covers the demolition of Well houses and Filter Skids associated with a wellfield.  Demolition of both the wellhouse and filter skid is included in the Activity.  The Activity covers the demolition of any minor buildings, the cutting up of the components of the wellhouse and Filter Skid, the transporting of the contents to a Low Level Radioactive Waste  (LLRW) dump and the dumping of the contents in the dump.  (It assumes that the distance is within 10 -20 kms of the wellfield allowing a truck to complete the dumping within the time it takes to demolish the wellhouse.  The item number reflects the number of wellhouses including filter skids to be demolished.</v>
          </cell>
        </row>
        <row r="89">
          <cell r="A89" t="str">
            <v>A1080</v>
          </cell>
          <cell r="B89" t="str">
            <v>Rehab of Wells</v>
          </cell>
          <cell r="C89" t="str">
            <v>The Grouting and Rehabilitation of Individual Wells - 150mm Diameter (including the removal of spiderlines, signal wires and breaking backfilling to surface level)</v>
          </cell>
          <cell r="D89" t="str">
            <v>Hole</v>
          </cell>
          <cell r="E89">
            <v>83.248000000000005</v>
          </cell>
          <cell r="F89">
            <v>0</v>
          </cell>
          <cell r="G89">
            <v>82.757999999999996</v>
          </cell>
          <cell r="H89">
            <v>1150</v>
          </cell>
          <cell r="I89">
            <v>1316.0060000000001</v>
          </cell>
          <cell r="J89">
            <v>83.248000000000005</v>
          </cell>
          <cell r="K89">
            <v>0</v>
          </cell>
          <cell r="L89">
            <v>82.757999999999996</v>
          </cell>
          <cell r="M89">
            <v>1150</v>
          </cell>
          <cell r="N89">
            <v>1316.0060000000001</v>
          </cell>
          <cell r="O89">
            <v>0.1</v>
          </cell>
          <cell r="P89">
            <v>1447.6066000000001</v>
          </cell>
          <cell r="Q89" t="str">
            <v>Hole</v>
          </cell>
          <cell r="S89" t="str">
            <v>This Activity covers the removal of the spiderlines from the wellhouse to the individual wells, the removal of any signal cables to the well, the grouting of the well, breaking off the top 0.5 metres of the casing, backfilling of the hole to surface level.  It includes the removal and chipping of the spiderlines and dumping of the chips into an approved dump on the site.</v>
          </cell>
        </row>
        <row r="90">
          <cell r="A90" t="str">
            <v>A1081</v>
          </cell>
          <cell r="B90" t="str">
            <v>Rehab of Wells</v>
          </cell>
          <cell r="C90" t="str">
            <v>The Grouting and Rehabilitation of Individual Wells - 125mm Diameter (including the removal of spiderlines, signal wires and breaking backfilling to surface level)</v>
          </cell>
          <cell r="D90" t="str">
            <v>Hole</v>
          </cell>
          <cell r="E90">
            <v>83.248000000000005</v>
          </cell>
          <cell r="F90">
            <v>0</v>
          </cell>
          <cell r="G90">
            <v>82.757999999999996</v>
          </cell>
          <cell r="H90">
            <v>930.00000000000011</v>
          </cell>
          <cell r="I90">
            <v>1096.0060000000001</v>
          </cell>
          <cell r="J90">
            <v>83.248000000000005</v>
          </cell>
          <cell r="K90">
            <v>0</v>
          </cell>
          <cell r="L90">
            <v>82.757999999999996</v>
          </cell>
          <cell r="M90">
            <v>930.00000000000011</v>
          </cell>
          <cell r="N90">
            <v>1096.0060000000001</v>
          </cell>
          <cell r="O90">
            <v>0.1</v>
          </cell>
          <cell r="P90">
            <v>1205.6066000000001</v>
          </cell>
          <cell r="Q90" t="str">
            <v>Hole</v>
          </cell>
          <cell r="S90" t="str">
            <v>This Activity covers the removal of the spiderlines from the wellhouse to the individual wells, the removal of any signal cables to the well, the grouting of the well, breaking off the top 0.5 metres of the casing, backfilling of the hole to surface level.  It includes the removal and chipping of the spiderlines and dumping of the chips into an approved dump on the site.</v>
          </cell>
        </row>
        <row r="91">
          <cell r="A91" t="str">
            <v>A1082</v>
          </cell>
          <cell r="B91" t="str">
            <v>Rehab of Wells</v>
          </cell>
          <cell r="C91" t="str">
            <v>The Grouting and Rehabilitation of Individual Wells - 100mm Diameter (including the removal of spiderlines, signal wires and breaking backfilling to surface level)</v>
          </cell>
          <cell r="D91" t="str">
            <v>Hole</v>
          </cell>
          <cell r="E91">
            <v>83.248000000000005</v>
          </cell>
          <cell r="F91">
            <v>0</v>
          </cell>
          <cell r="G91">
            <v>82.757999999999996</v>
          </cell>
          <cell r="H91">
            <v>750</v>
          </cell>
          <cell r="I91">
            <v>916.00599999999997</v>
          </cell>
          <cell r="J91">
            <v>83.248000000000005</v>
          </cell>
          <cell r="K91">
            <v>0</v>
          </cell>
          <cell r="L91">
            <v>82.757999999999996</v>
          </cell>
          <cell r="M91">
            <v>750</v>
          </cell>
          <cell r="N91">
            <v>916.00599999999997</v>
          </cell>
          <cell r="O91">
            <v>0.1</v>
          </cell>
          <cell r="P91">
            <v>1007.6066</v>
          </cell>
          <cell r="Q91" t="str">
            <v>Hole</v>
          </cell>
          <cell r="S91" t="str">
            <v>This Activity covers the removal of the spiderlines from the wellhouse to the individual wells, the removal of any signal cables to the well, the grouting of the well, breaking off the top 0.5 metres of the casing, backfilling of the hole to surface level.  It includes the removal and chipping of the spiderlines and dumping of the chips into an approved dump on the site.</v>
          </cell>
        </row>
        <row r="92">
          <cell r="A92" t="str">
            <v>A1083</v>
          </cell>
          <cell r="B92" t="str">
            <v>Rehab of Wells</v>
          </cell>
          <cell r="C92" t="str">
            <v>Radiological and Contamination Survey of Wellfields</v>
          </cell>
          <cell r="D92" t="str">
            <v>Item</v>
          </cell>
          <cell r="E92">
            <v>0</v>
          </cell>
          <cell r="F92">
            <v>0</v>
          </cell>
          <cell r="G92">
            <v>80.762500000000003</v>
          </cell>
          <cell r="H92">
            <v>0</v>
          </cell>
          <cell r="I92">
            <v>80.762500000000003</v>
          </cell>
          <cell r="J92">
            <v>0</v>
          </cell>
          <cell r="K92">
            <v>0</v>
          </cell>
          <cell r="L92">
            <v>80.762500000000003</v>
          </cell>
          <cell r="M92">
            <v>0</v>
          </cell>
          <cell r="N92">
            <v>80.762500000000003</v>
          </cell>
          <cell r="O92">
            <v>0.1</v>
          </cell>
          <cell r="P92">
            <v>88.838750000000005</v>
          </cell>
          <cell r="Q92" t="str">
            <v>Item</v>
          </cell>
          <cell r="S92" t="str">
            <v xml:space="preserve">This activity covers the radiological and contamination survey that is necessary prior to the completion of the rehabilitation of a well field.  For simplicity it is based on a rate per hole irrespective of whether the hole is an injection hole or an extraction hole and covers the surrounding area including the spider lines and trunk line.  </v>
          </cell>
        </row>
        <row r="93">
          <cell r="A93" t="str">
            <v>A1084</v>
          </cell>
          <cell r="B93" t="str">
            <v>Demolition</v>
          </cell>
          <cell r="C93" t="str">
            <v>Removal of low/medium voltage powerlines including disconnection</v>
          </cell>
          <cell r="D93" t="str">
            <v>km</v>
          </cell>
          <cell r="E93">
            <v>0</v>
          </cell>
          <cell r="F93">
            <v>0</v>
          </cell>
          <cell r="G93">
            <v>0</v>
          </cell>
          <cell r="H93">
            <v>13600</v>
          </cell>
          <cell r="I93">
            <v>13600</v>
          </cell>
          <cell r="J93">
            <v>0</v>
          </cell>
          <cell r="K93">
            <v>0</v>
          </cell>
          <cell r="L93">
            <v>0</v>
          </cell>
          <cell r="M93">
            <v>13600</v>
          </cell>
          <cell r="N93">
            <v>13600</v>
          </cell>
          <cell r="O93">
            <v>0.1</v>
          </cell>
          <cell r="P93">
            <v>14960</v>
          </cell>
          <cell r="Q93" t="str">
            <v>km</v>
          </cell>
          <cell r="S93" t="str">
            <v>Activity includes the removal of low/medium voltage powerlines including disconnection, rolling up the wires and removing the poles - Applies to power lines on stobie, concrete or similar poles.
Does not include the removal of substations</v>
          </cell>
        </row>
        <row r="94">
          <cell r="A94" t="str">
            <v>A1085</v>
          </cell>
          <cell r="B94" t="str">
            <v>Demolition</v>
          </cell>
          <cell r="C94" t="str">
            <v>Removal of power lines on tower or lattice structures (this includes disconnection, rolling up the wires and removing the structures)</v>
          </cell>
          <cell r="D94" t="str">
            <v>Km</v>
          </cell>
          <cell r="E94">
            <v>0</v>
          </cell>
          <cell r="F94">
            <v>0</v>
          </cell>
          <cell r="G94">
            <v>0</v>
          </cell>
          <cell r="H94">
            <v>100000</v>
          </cell>
          <cell r="I94">
            <v>100000</v>
          </cell>
          <cell r="J94">
            <v>0</v>
          </cell>
          <cell r="K94">
            <v>0</v>
          </cell>
          <cell r="L94">
            <v>0</v>
          </cell>
          <cell r="M94">
            <v>100000</v>
          </cell>
          <cell r="N94">
            <v>100000</v>
          </cell>
          <cell r="O94">
            <v>0.1</v>
          </cell>
          <cell r="P94">
            <v>110000</v>
          </cell>
          <cell r="Q94" t="str">
            <v>Km</v>
          </cell>
          <cell r="S94" t="str">
            <v>Removal of power lines on tower or lattice structures (this includes disconnection, rolling up the wires and removing the structures) - Applies to power lines on steel tower and steel lattice structures assuming 3 towers / km.
Does not include the removal of substations</v>
          </cell>
        </row>
        <row r="95">
          <cell r="A95" t="str">
            <v>A1086</v>
          </cell>
          <cell r="B95" t="str">
            <v>Earthworks</v>
          </cell>
          <cell r="C95" t="str">
            <v>Purchase and installation of HDPE liner</v>
          </cell>
          <cell r="D95" t="str">
            <v>m2</v>
          </cell>
          <cell r="E95">
            <v>1.3007500000000001</v>
          </cell>
          <cell r="F95">
            <v>3.0378378378378379</v>
          </cell>
          <cell r="G95">
            <v>1.8567499999999997</v>
          </cell>
          <cell r="H95">
            <v>0</v>
          </cell>
          <cell r="I95">
            <v>6.1953378378378376</v>
          </cell>
          <cell r="J95">
            <v>1.3007500000000001</v>
          </cell>
          <cell r="K95">
            <v>3.0378378378378379</v>
          </cell>
          <cell r="L95">
            <v>1.8567499999999997</v>
          </cell>
          <cell r="M95">
            <v>0</v>
          </cell>
          <cell r="N95">
            <v>6.1953378378378376</v>
          </cell>
          <cell r="O95">
            <v>0.1</v>
          </cell>
          <cell r="P95">
            <v>6.8148716216216219</v>
          </cell>
          <cell r="Q95" t="str">
            <v>m2</v>
          </cell>
          <cell r="S95" t="str">
            <v>Activity covers the purchase and installation of a HDPE liner for applications such as dams, leach pads, sumps etc (120m2 per hour)</v>
          </cell>
        </row>
        <row r="96">
          <cell r="A96" t="str">
            <v>A1087</v>
          </cell>
          <cell r="B96" t="str">
            <v>Preliminary  Activity</v>
          </cell>
          <cell r="C96" t="str">
            <v>Design/Quantify/Survey Rehabilitation Structures to Specification Standard</v>
          </cell>
          <cell r="D96" t="str">
            <v>Item</v>
          </cell>
          <cell r="E96">
            <v>0</v>
          </cell>
          <cell r="F96">
            <v>0</v>
          </cell>
          <cell r="G96">
            <v>0</v>
          </cell>
          <cell r="H96">
            <v>18182</v>
          </cell>
          <cell r="I96">
            <v>18182</v>
          </cell>
          <cell r="J96">
            <v>0</v>
          </cell>
          <cell r="K96">
            <v>0</v>
          </cell>
          <cell r="L96">
            <v>0</v>
          </cell>
          <cell r="M96">
            <v>18182</v>
          </cell>
          <cell r="N96">
            <v>18182</v>
          </cell>
          <cell r="O96">
            <v>0.1</v>
          </cell>
          <cell r="P96">
            <v>20000.2</v>
          </cell>
          <cell r="Q96" t="str">
            <v>Item</v>
          </cell>
          <cell r="S96" t="str">
            <v>This item covers the cost of a third party called in to determine the extent of work required and to assess the methodology to complete the work and any other design or planning activities required.</v>
          </cell>
        </row>
        <row r="97">
          <cell r="A97" t="str">
            <v>A1088</v>
          </cell>
          <cell r="B97" t="str">
            <v>Earthworks</v>
          </cell>
          <cell r="C97" t="str">
            <v>Construction of lined silt traps/evaporation ponds. (Excludes spillway construction and armouring)</v>
          </cell>
          <cell r="D97" t="str">
            <v>Ha</v>
          </cell>
          <cell r="E97">
            <v>14152.159999999998</v>
          </cell>
          <cell r="F97">
            <v>30378.378378378377</v>
          </cell>
          <cell r="G97">
            <v>9336.7999999999993</v>
          </cell>
          <cell r="H97">
            <v>0</v>
          </cell>
          <cell r="I97">
            <v>53867.338378378379</v>
          </cell>
          <cell r="J97">
            <v>14152.159999999998</v>
          </cell>
          <cell r="K97">
            <v>30378.378378378377</v>
          </cell>
          <cell r="L97">
            <v>9336.7999999999993</v>
          </cell>
          <cell r="M97">
            <v>0</v>
          </cell>
          <cell r="N97">
            <v>53867.338378378379</v>
          </cell>
          <cell r="O97">
            <v>0.1</v>
          </cell>
          <cell r="P97">
            <v>59254.07221621622</v>
          </cell>
          <cell r="Q97" t="str">
            <v>Ha</v>
          </cell>
          <cell r="S97" t="str">
            <v>Includes the design and construction of suitable surface water capture structures.  Assumes no overflow - where overflow is designed into the structure, separate spillway construction and armouring costs to be applied.</v>
          </cell>
        </row>
        <row r="98">
          <cell r="A98" t="str">
            <v>A1089</v>
          </cell>
          <cell r="B98" t="str">
            <v>Earthworks</v>
          </cell>
          <cell r="C98" t="str">
            <v>Reinstatement of Bulk Sample pits / Costeens where material is adjacent to pit</v>
          </cell>
          <cell r="D98" t="str">
            <v>m3</v>
          </cell>
          <cell r="E98">
            <v>0.62436000000000003</v>
          </cell>
          <cell r="F98">
            <v>0</v>
          </cell>
          <cell r="G98">
            <v>0.63659999999999994</v>
          </cell>
          <cell r="H98">
            <v>0</v>
          </cell>
          <cell r="I98">
            <v>1.2609599999999999</v>
          </cell>
          <cell r="J98">
            <v>0.62436000000000003</v>
          </cell>
          <cell r="K98">
            <v>0</v>
          </cell>
          <cell r="L98">
            <v>0.63659999999999994</v>
          </cell>
          <cell r="M98">
            <v>0</v>
          </cell>
          <cell r="N98">
            <v>1.2609599999999999</v>
          </cell>
          <cell r="O98">
            <v>0.1</v>
          </cell>
          <cell r="P98">
            <v>1.3870559999999998</v>
          </cell>
          <cell r="Q98" t="str">
            <v>m3</v>
          </cell>
          <cell r="S98" t="str">
            <v>Activity includes the simple replacement of material into adjacent pit excavated for bulk sample purposes.</v>
          </cell>
        </row>
        <row r="99">
          <cell r="A99" t="str">
            <v>A1090</v>
          </cell>
          <cell r="B99" t="str">
            <v>Demolition</v>
          </cell>
          <cell r="C99" t="str">
            <v>Disconnect and terminate services at remote areas  (i.e., pump stations, remote workshops, sewage treatment plant, etc.)</v>
          </cell>
          <cell r="D99" t="str">
            <v>Item</v>
          </cell>
          <cell r="E99">
            <v>0</v>
          </cell>
          <cell r="F99">
            <v>0</v>
          </cell>
          <cell r="G99">
            <v>0</v>
          </cell>
          <cell r="H99">
            <v>5000</v>
          </cell>
          <cell r="I99">
            <v>5000</v>
          </cell>
          <cell r="J99">
            <v>0</v>
          </cell>
          <cell r="K99">
            <v>0</v>
          </cell>
          <cell r="L99">
            <v>0</v>
          </cell>
          <cell r="M99">
            <v>5000</v>
          </cell>
          <cell r="N99">
            <v>5000</v>
          </cell>
          <cell r="O99">
            <v>0.1</v>
          </cell>
          <cell r="P99">
            <v>5500</v>
          </cell>
          <cell r="Q99" t="str">
            <v>Item</v>
          </cell>
          <cell r="S99" t="str">
            <v>For disconnection of all services, at building boundaries, physical cut at the point of attachment or distribution location.  If infrastructure is not consolidated (i.e., administration, camp and workshops are in separate places), consider multiple disconnection fees.</v>
          </cell>
        </row>
        <row r="100">
          <cell r="A100" t="str">
            <v>A1091</v>
          </cell>
          <cell r="B100" t="str">
            <v>Demolition</v>
          </cell>
          <cell r="C100" t="str">
            <v>Demolish and remove light industrial buildings - and disposal on-site/locally</v>
          </cell>
          <cell r="D100" t="str">
            <v>m2/floor</v>
          </cell>
          <cell r="E100">
            <v>0</v>
          </cell>
          <cell r="F100">
            <v>0</v>
          </cell>
          <cell r="G100">
            <v>0</v>
          </cell>
          <cell r="H100">
            <v>104.54545454545453</v>
          </cell>
          <cell r="I100">
            <v>104.54545454545453</v>
          </cell>
          <cell r="J100">
            <v>0</v>
          </cell>
          <cell r="K100">
            <v>0</v>
          </cell>
          <cell r="L100">
            <v>0</v>
          </cell>
          <cell r="M100">
            <v>104.54545454545453</v>
          </cell>
          <cell r="N100">
            <v>104.54545454545453</v>
          </cell>
          <cell r="O100">
            <v>0.1</v>
          </cell>
          <cell r="P100">
            <v>114.99999999999999</v>
          </cell>
          <cell r="Q100" t="str">
            <v>m2/floor</v>
          </cell>
          <cell r="S100" t="str">
            <v>Needs to be calculated per floor/level (Assume 1 floor/level = 3-4 m) - does not include transport to regional disposal facility or equivalent.</v>
          </cell>
        </row>
        <row r="101">
          <cell r="A101" t="str">
            <v>A1092</v>
          </cell>
          <cell r="B101" t="str">
            <v>Demolition</v>
          </cell>
          <cell r="C101" t="str">
            <v>Demolish and remove industrial buildings and disposal on-site/locally</v>
          </cell>
          <cell r="D101" t="str">
            <v>m2/floor</v>
          </cell>
          <cell r="E101">
            <v>0</v>
          </cell>
          <cell r="F101">
            <v>0</v>
          </cell>
          <cell r="G101">
            <v>0</v>
          </cell>
          <cell r="H101">
            <v>163.63636363636363</v>
          </cell>
          <cell r="I101">
            <v>163.63636363636363</v>
          </cell>
          <cell r="J101">
            <v>0</v>
          </cell>
          <cell r="K101">
            <v>0</v>
          </cell>
          <cell r="L101">
            <v>0</v>
          </cell>
          <cell r="M101">
            <v>163.63636363636363</v>
          </cell>
          <cell r="N101">
            <v>163.63636363636363</v>
          </cell>
          <cell r="O101">
            <v>0.1</v>
          </cell>
          <cell r="P101">
            <v>180</v>
          </cell>
          <cell r="Q101" t="str">
            <v>m2/floor</v>
          </cell>
          <cell r="S101" t="str">
            <v>Needs to be calculated per floor/level (Assume 1 floor/level = 3-4 m) - does not include transport to regional disposal facility or equivalent.</v>
          </cell>
        </row>
        <row r="102">
          <cell r="A102" t="str">
            <v>A1093</v>
          </cell>
          <cell r="B102" t="str">
            <v>Demolition</v>
          </cell>
          <cell r="C102" t="str">
            <v>Remove underground pipe and dispose onsite - Various pipe diameter and depths</v>
          </cell>
          <cell r="D102" t="str">
            <v>m</v>
          </cell>
          <cell r="E102">
            <v>0</v>
          </cell>
          <cell r="F102">
            <v>0</v>
          </cell>
          <cell r="G102">
            <v>0</v>
          </cell>
          <cell r="H102">
            <v>22.727272727272727</v>
          </cell>
          <cell r="I102">
            <v>22.727272727272727</v>
          </cell>
          <cell r="J102">
            <v>0</v>
          </cell>
          <cell r="K102">
            <v>0</v>
          </cell>
          <cell r="L102">
            <v>0</v>
          </cell>
          <cell r="M102">
            <v>22.727272727272727</v>
          </cell>
          <cell r="N102">
            <v>22.727272727272727</v>
          </cell>
          <cell r="O102">
            <v>0.1</v>
          </cell>
          <cell r="P102">
            <v>25</v>
          </cell>
          <cell r="Q102" t="str">
            <v>m</v>
          </cell>
          <cell r="S102" t="str">
            <v>Varying rates -
300 mm pipes at 500mm depth
500mm pipes at 1m depth
1,000mm pipes at 2m depth</v>
          </cell>
        </row>
        <row r="103">
          <cell r="A103" t="str">
            <v>A1094</v>
          </cell>
          <cell r="B103" t="str">
            <v>Demolition</v>
          </cell>
          <cell r="C103" t="str">
            <v>Pipework - demolish and remove above ground pipework - plastic</v>
          </cell>
          <cell r="D103" t="str">
            <v>m</v>
          </cell>
          <cell r="E103">
            <v>2.7315750000000003</v>
          </cell>
          <cell r="F103">
            <v>0</v>
          </cell>
          <cell r="G103">
            <v>1.5914999999999999</v>
          </cell>
          <cell r="H103">
            <v>0</v>
          </cell>
          <cell r="I103">
            <v>4.3230750000000002</v>
          </cell>
          <cell r="J103">
            <v>2.7315750000000003</v>
          </cell>
          <cell r="K103">
            <v>0</v>
          </cell>
          <cell r="L103">
            <v>1.5914999999999999</v>
          </cell>
          <cell r="M103">
            <v>0</v>
          </cell>
          <cell r="N103">
            <v>4.3230750000000002</v>
          </cell>
          <cell r="O103">
            <v>0.1</v>
          </cell>
          <cell r="P103">
            <v>4.7553825000000005</v>
          </cell>
          <cell r="Q103" t="str">
            <v>m</v>
          </cell>
          <cell r="S103" t="str">
            <v>Cut plastic pipes into 3m lengths, load into semi trailer and transport to onsite dump.</v>
          </cell>
        </row>
        <row r="104">
          <cell r="A104" t="str">
            <v>A1095</v>
          </cell>
          <cell r="B104" t="str">
            <v>Demolition</v>
          </cell>
          <cell r="C104" t="str">
            <v>Pipework - demolish and remove above ground pipework - metal</v>
          </cell>
          <cell r="D104" t="str">
            <v>m</v>
          </cell>
          <cell r="E104">
            <v>8.3248000000000015</v>
          </cell>
          <cell r="F104">
            <v>0</v>
          </cell>
          <cell r="G104">
            <v>9.8144999999999989</v>
          </cell>
          <cell r="H104">
            <v>0</v>
          </cell>
          <cell r="I104">
            <v>18.139299999999999</v>
          </cell>
          <cell r="J104">
            <v>8.3248000000000015</v>
          </cell>
          <cell r="K104">
            <v>0</v>
          </cell>
          <cell r="L104">
            <v>9.8144999999999989</v>
          </cell>
          <cell r="M104">
            <v>0</v>
          </cell>
          <cell r="N104">
            <v>18.139299999999999</v>
          </cell>
          <cell r="O104">
            <v>0.1</v>
          </cell>
          <cell r="P104">
            <v>19.953229999999998</v>
          </cell>
          <cell r="Q104" t="str">
            <v>m</v>
          </cell>
          <cell r="S104" t="str">
            <v>Cut metal pipes into 3m lengths, load into semi trailer with excavator and transport to onsite dump for  pipe diameters &lt;200mm &amp; &gt;200mm.</v>
          </cell>
        </row>
        <row r="105">
          <cell r="A105" t="str">
            <v>A1096</v>
          </cell>
          <cell r="B105" t="str">
            <v>Preliminary  Activity</v>
          </cell>
          <cell r="C105" t="str">
            <v>To Identify and Characterise the material in the heap leach including the extent of flushing and design of the cover</v>
          </cell>
          <cell r="D105" t="str">
            <v>Item</v>
          </cell>
          <cell r="E105">
            <v>0</v>
          </cell>
          <cell r="F105">
            <v>0</v>
          </cell>
          <cell r="G105">
            <v>0</v>
          </cell>
          <cell r="H105">
            <v>18182</v>
          </cell>
          <cell r="I105">
            <v>18182</v>
          </cell>
          <cell r="J105">
            <v>0</v>
          </cell>
          <cell r="K105">
            <v>0</v>
          </cell>
          <cell r="L105">
            <v>0</v>
          </cell>
          <cell r="M105">
            <v>18182</v>
          </cell>
          <cell r="N105">
            <v>18182</v>
          </cell>
          <cell r="O105">
            <v>0.1</v>
          </cell>
          <cell r="P105">
            <v>20000.2</v>
          </cell>
          <cell r="Q105" t="str">
            <v>Item</v>
          </cell>
          <cell r="S105" t="str">
            <v>This sum covers the characterisation of the heap, determining the extent of flushing required to neutralise the heap and design of the cover thickness for the facility. The activity includes professional assessment, engineering and laboratory work required to develop an appropriate management plan.</v>
          </cell>
        </row>
        <row r="106">
          <cell r="A106" t="str">
            <v>A1097</v>
          </cell>
          <cell r="B106" t="str">
            <v>Demolition</v>
          </cell>
          <cell r="C106" t="str">
            <v>Remove rail loop and spur, sleepers, ballast etc. and dispose on-site</v>
          </cell>
          <cell r="D106" t="str">
            <v>lin m</v>
          </cell>
          <cell r="E106">
            <v>16.996400000000001</v>
          </cell>
          <cell r="F106">
            <v>0</v>
          </cell>
          <cell r="G106">
            <v>32.891333333333336</v>
          </cell>
          <cell r="H106">
            <v>0</v>
          </cell>
          <cell r="I106">
            <v>49.887733333333337</v>
          </cell>
          <cell r="J106">
            <v>16.996400000000001</v>
          </cell>
          <cell r="K106">
            <v>0</v>
          </cell>
          <cell r="L106">
            <v>32.891333333333336</v>
          </cell>
          <cell r="M106">
            <v>0</v>
          </cell>
          <cell r="N106">
            <v>49.887733333333337</v>
          </cell>
          <cell r="O106">
            <v>0.1</v>
          </cell>
          <cell r="P106">
            <v>54.876506666666671</v>
          </cell>
          <cell r="Q106" t="str">
            <v>lin m</v>
          </cell>
          <cell r="S106" t="str">
            <v>This activity covers the demolition and removal of track, sleepers &amp; ballast removal only and disposal on site. (Excludes decommissioning, signalling, OHL, earthworks, bridges, junctions and level crossings).  All materials removed to allow area to be reshaped and rehabilitated - does not include transport and disposal costs to approved disposal facility.</v>
          </cell>
        </row>
        <row r="107">
          <cell r="A107" t="str">
            <v>A1098</v>
          </cell>
          <cell r="B107" t="str">
            <v>Demolition</v>
          </cell>
          <cell r="C107" t="str">
            <v>Remove train loading facilities and dispose on-site</v>
          </cell>
          <cell r="D107" t="str">
            <v>m2</v>
          </cell>
          <cell r="E107">
            <v>41.623999999999995</v>
          </cell>
          <cell r="F107">
            <v>0</v>
          </cell>
          <cell r="G107">
            <v>200.17866666666669</v>
          </cell>
          <cell r="H107">
            <v>0</v>
          </cell>
          <cell r="I107">
            <v>241.80266666666668</v>
          </cell>
          <cell r="J107">
            <v>41.623999999999995</v>
          </cell>
          <cell r="K107">
            <v>0</v>
          </cell>
          <cell r="L107">
            <v>200.17866666666669</v>
          </cell>
          <cell r="M107">
            <v>0</v>
          </cell>
          <cell r="N107">
            <v>241.80266666666668</v>
          </cell>
          <cell r="O107">
            <v>0.1</v>
          </cell>
          <cell r="P107">
            <v>265.98293333333334</v>
          </cell>
          <cell r="Q107" t="str">
            <v>m2</v>
          </cell>
          <cell r="S107" t="str">
            <v>This activity includes the removal of rail loading infrastructure including gantries and control structures and disposal on site - does not include transport and disposal costs to approved disposal facility.</v>
          </cell>
        </row>
        <row r="108">
          <cell r="A108" t="str">
            <v>A1099</v>
          </cell>
          <cell r="B108" t="str">
            <v>Earthworks</v>
          </cell>
          <cell r="C108" t="str">
            <v>Reshape rail spur and load out areas - does not include revegetation</v>
          </cell>
          <cell r="D108" t="str">
            <v>Ha</v>
          </cell>
          <cell r="E108">
            <v>1935.52</v>
          </cell>
          <cell r="F108">
            <v>0</v>
          </cell>
          <cell r="G108">
            <v>445.61999999999995</v>
          </cell>
          <cell r="H108">
            <v>0</v>
          </cell>
          <cell r="I108">
            <v>2381.14</v>
          </cell>
          <cell r="J108">
            <v>1935.52</v>
          </cell>
          <cell r="K108">
            <v>0</v>
          </cell>
          <cell r="L108">
            <v>445.61999999999995</v>
          </cell>
          <cell r="M108">
            <v>0</v>
          </cell>
          <cell r="N108">
            <v>2381.14</v>
          </cell>
          <cell r="O108">
            <v>0.1</v>
          </cell>
          <cell r="P108">
            <v>2619.2539999999999</v>
          </cell>
          <cell r="Q108" t="str">
            <v>Ha</v>
          </cell>
          <cell r="S108" t="str">
            <v>This activity includes the levelling and shaping of the disturbed rail corridor by D11 Dozer and the final shaping by grader.</v>
          </cell>
        </row>
        <row r="109">
          <cell r="A109" t="str">
            <v>A1100</v>
          </cell>
          <cell r="B109" t="str">
            <v>Re-Vegetation</v>
          </cell>
          <cell r="C109" t="str">
            <v>Purchase and single application of ground ameliorants (e.g. gypsum)</v>
          </cell>
          <cell r="D109" t="str">
            <v>Ha</v>
          </cell>
          <cell r="E109">
            <v>426.65</v>
          </cell>
          <cell r="F109">
            <v>38.770000000000003</v>
          </cell>
          <cell r="G109">
            <v>148.54</v>
          </cell>
          <cell r="H109">
            <v>0</v>
          </cell>
          <cell r="I109">
            <v>613.95999999999992</v>
          </cell>
          <cell r="J109">
            <v>426.65</v>
          </cell>
          <cell r="K109">
            <v>38.770000000000003</v>
          </cell>
          <cell r="L109">
            <v>148.54</v>
          </cell>
          <cell r="M109">
            <v>0</v>
          </cell>
          <cell r="N109">
            <v>613.95999999999992</v>
          </cell>
          <cell r="O109">
            <v>0.1</v>
          </cell>
          <cell r="P109">
            <v>675.35599999999988</v>
          </cell>
          <cell r="Q109" t="str">
            <v>Ha</v>
          </cell>
          <cell r="S109" t="str">
            <v>This Activity includes the purchase and single application of ground ameliorants (e.g. gypsum).</v>
          </cell>
        </row>
        <row r="110">
          <cell r="A110" t="str">
            <v>A1101</v>
          </cell>
          <cell r="B110" t="str">
            <v>Re-Vegetation</v>
          </cell>
          <cell r="C110" t="str">
            <v>The purchase only of non-native pasture grasses</v>
          </cell>
          <cell r="D110" t="str">
            <v>Ha</v>
          </cell>
          <cell r="E110">
            <v>0</v>
          </cell>
          <cell r="F110">
            <v>1020.2</v>
          </cell>
          <cell r="G110">
            <v>0</v>
          </cell>
          <cell r="H110">
            <v>0</v>
          </cell>
          <cell r="I110">
            <v>1020.2</v>
          </cell>
          <cell r="J110">
            <v>0</v>
          </cell>
          <cell r="K110">
            <v>1020.2</v>
          </cell>
          <cell r="L110">
            <v>0</v>
          </cell>
          <cell r="M110">
            <v>0</v>
          </cell>
          <cell r="N110">
            <v>1020.2</v>
          </cell>
          <cell r="O110">
            <v>0.1</v>
          </cell>
          <cell r="P110">
            <v>1122.22</v>
          </cell>
          <cell r="Q110" t="str">
            <v>Ha</v>
          </cell>
          <cell r="S110" t="str">
            <v>This activity covers the purchase of non-native pasture grasses</v>
          </cell>
        </row>
        <row r="111">
          <cell r="A111" t="str">
            <v>A1102</v>
          </cell>
          <cell r="B111" t="str">
            <v>Re-Vegetation</v>
          </cell>
          <cell r="C111" t="str">
            <v>The purchase only of general native seed mix</v>
          </cell>
          <cell r="D111" t="str">
            <v>Ha</v>
          </cell>
          <cell r="E111">
            <v>0</v>
          </cell>
          <cell r="F111">
            <v>2040.4</v>
          </cell>
          <cell r="G111">
            <v>0</v>
          </cell>
          <cell r="H111">
            <v>0</v>
          </cell>
          <cell r="I111">
            <v>2040.4</v>
          </cell>
          <cell r="J111">
            <v>0</v>
          </cell>
          <cell r="K111">
            <v>2040.4</v>
          </cell>
          <cell r="L111">
            <v>0</v>
          </cell>
          <cell r="M111">
            <v>0</v>
          </cell>
          <cell r="N111">
            <v>2040.4</v>
          </cell>
          <cell r="O111">
            <v>0.1</v>
          </cell>
          <cell r="P111">
            <v>2244.44</v>
          </cell>
          <cell r="Q111" t="str">
            <v>Ha</v>
          </cell>
          <cell r="S111" t="str">
            <v>This activity covers the purchase of general native seed mix</v>
          </cell>
        </row>
        <row r="112">
          <cell r="A112" t="str">
            <v>A1103</v>
          </cell>
          <cell r="B112" t="str">
            <v>Re-Vegetation</v>
          </cell>
          <cell r="C112" t="str">
            <v>The purchase only of local provenance native seed mix</v>
          </cell>
          <cell r="D112" t="str">
            <v>Ha</v>
          </cell>
          <cell r="E112">
            <v>0</v>
          </cell>
          <cell r="F112">
            <v>6121.2</v>
          </cell>
          <cell r="G112">
            <v>0</v>
          </cell>
          <cell r="H112">
            <v>0</v>
          </cell>
          <cell r="I112">
            <v>6121.2</v>
          </cell>
          <cell r="J112">
            <v>0</v>
          </cell>
          <cell r="K112">
            <v>6121.2</v>
          </cell>
          <cell r="L112">
            <v>0</v>
          </cell>
          <cell r="M112">
            <v>0</v>
          </cell>
          <cell r="N112">
            <v>6121.2</v>
          </cell>
          <cell r="O112">
            <v>0.1</v>
          </cell>
          <cell r="P112">
            <v>6733.32</v>
          </cell>
          <cell r="Q112" t="str">
            <v>Ha</v>
          </cell>
          <cell r="S112" t="str">
            <v>This activity covers the purchase of local provenance native seed mix</v>
          </cell>
        </row>
        <row r="113">
          <cell r="A113" t="str">
            <v>A1104</v>
          </cell>
          <cell r="B113" t="str">
            <v>Re-Vegetation</v>
          </cell>
          <cell r="C113" t="str">
            <v>The purchase only of fertiliser for broadcast application</v>
          </cell>
          <cell r="D113" t="str">
            <v>Ha</v>
          </cell>
          <cell r="E113">
            <v>0</v>
          </cell>
          <cell r="F113">
            <v>612.12</v>
          </cell>
          <cell r="G113">
            <v>0</v>
          </cell>
          <cell r="H113">
            <v>0</v>
          </cell>
          <cell r="I113">
            <v>612.12</v>
          </cell>
          <cell r="J113">
            <v>0</v>
          </cell>
          <cell r="K113">
            <v>612.12</v>
          </cell>
          <cell r="L113">
            <v>0</v>
          </cell>
          <cell r="M113">
            <v>0</v>
          </cell>
          <cell r="N113">
            <v>612.12</v>
          </cell>
          <cell r="O113">
            <v>0.1</v>
          </cell>
          <cell r="P113">
            <v>673.33199999999999</v>
          </cell>
          <cell r="Q113" t="str">
            <v>Ha</v>
          </cell>
          <cell r="S113" t="str">
            <v>This activity covers the purchase of local fertiliser for broadcast application.  It does not inlcude the application.</v>
          </cell>
        </row>
        <row r="114">
          <cell r="A114" t="str">
            <v>A1105</v>
          </cell>
          <cell r="B114" t="str">
            <v>Re-Vegetation</v>
          </cell>
          <cell r="C114" t="str">
            <v>The purchase of native tubestock (including slow release fertiliser)</v>
          </cell>
          <cell r="D114" t="str">
            <v>Ha</v>
          </cell>
          <cell r="E114">
            <v>0</v>
          </cell>
          <cell r="F114">
            <v>1428.28</v>
          </cell>
          <cell r="G114">
            <v>0</v>
          </cell>
          <cell r="H114">
            <v>0</v>
          </cell>
          <cell r="I114">
            <v>1428.28</v>
          </cell>
          <cell r="J114">
            <v>0</v>
          </cell>
          <cell r="K114">
            <v>1428.28</v>
          </cell>
          <cell r="L114">
            <v>0</v>
          </cell>
          <cell r="M114">
            <v>0</v>
          </cell>
          <cell r="N114">
            <v>1428.28</v>
          </cell>
          <cell r="O114">
            <v>0.1</v>
          </cell>
          <cell r="P114">
            <v>1571.1079999999999</v>
          </cell>
          <cell r="Q114" t="str">
            <v>Ha</v>
          </cell>
          <cell r="S114" t="str">
            <v>The Activity includes the purchase of native tubestock (including slow release fertiliser).  It does not include planting.</v>
          </cell>
        </row>
        <row r="115">
          <cell r="A115" t="str">
            <v>A1106</v>
          </cell>
          <cell r="B115" t="str">
            <v>Re-Vegetation</v>
          </cell>
          <cell r="C115" t="str">
            <v>Direct seeding along rip line or mechanical broadcast seeding</v>
          </cell>
          <cell r="D115" t="str">
            <v>Ha</v>
          </cell>
          <cell r="E115">
            <v>0</v>
          </cell>
          <cell r="F115">
            <v>1530.3</v>
          </cell>
          <cell r="G115">
            <v>0</v>
          </cell>
          <cell r="H115">
            <v>0</v>
          </cell>
          <cell r="I115">
            <v>1530.3</v>
          </cell>
          <cell r="J115">
            <v>0</v>
          </cell>
          <cell r="K115">
            <v>1530.3</v>
          </cell>
          <cell r="L115">
            <v>0</v>
          </cell>
          <cell r="M115">
            <v>0</v>
          </cell>
          <cell r="N115">
            <v>1530.3</v>
          </cell>
          <cell r="O115">
            <v>0.1</v>
          </cell>
          <cell r="P115">
            <v>1683.33</v>
          </cell>
          <cell r="Q115" t="str">
            <v>Ha</v>
          </cell>
          <cell r="S115" t="str">
            <v>Sowing of separately purchased seed and or fertiliser for broadcast application that involves scattering seed, by hand or mechanically, over a relatively large area.</v>
          </cell>
        </row>
        <row r="116">
          <cell r="A116" t="str">
            <v>A1107</v>
          </cell>
          <cell r="B116" t="str">
            <v>Re-Vegetation</v>
          </cell>
          <cell r="C116" t="str">
            <v>Hydromulching (does not include seed or fertiliser)</v>
          </cell>
          <cell r="D116" t="str">
            <v>Ha</v>
          </cell>
          <cell r="E116">
            <v>500</v>
          </cell>
          <cell r="F116">
            <v>0</v>
          </cell>
          <cell r="G116">
            <v>530.49999999999989</v>
          </cell>
          <cell r="H116">
            <v>0</v>
          </cell>
          <cell r="I116">
            <v>1030.5</v>
          </cell>
          <cell r="J116">
            <v>500</v>
          </cell>
          <cell r="K116">
            <v>0</v>
          </cell>
          <cell r="L116">
            <v>530.49999999999989</v>
          </cell>
          <cell r="M116">
            <v>0</v>
          </cell>
          <cell r="N116">
            <v>1030.5</v>
          </cell>
          <cell r="O116">
            <v>0.1</v>
          </cell>
          <cell r="P116">
            <v>1133.55</v>
          </cell>
          <cell r="Q116" t="str">
            <v>Ha</v>
          </cell>
          <cell r="S116" t="str">
            <v>Hydromulching planting process that uses a slurry of seed and mulch. It is often used as an erosion control technique as an alternative to the traditional process of broadcasting or sowing dry seed.</v>
          </cell>
        </row>
        <row r="117">
          <cell r="A117" t="str">
            <v>A1108</v>
          </cell>
          <cell r="B117" t="str">
            <v>Re-Vegetation</v>
          </cell>
          <cell r="C117" t="str">
            <v>Planting of tubestock &lt;15cm (assumes 1,000 plants per hectare)</v>
          </cell>
          <cell r="D117" t="str">
            <v>Ha</v>
          </cell>
          <cell r="E117">
            <v>0</v>
          </cell>
          <cell r="F117">
            <v>0</v>
          </cell>
          <cell r="G117">
            <v>1060.9999999999998</v>
          </cell>
          <cell r="H117">
            <v>0</v>
          </cell>
          <cell r="I117">
            <v>1060.9999999999998</v>
          </cell>
          <cell r="J117">
            <v>0</v>
          </cell>
          <cell r="K117">
            <v>0</v>
          </cell>
          <cell r="L117">
            <v>1060.9999999999998</v>
          </cell>
          <cell r="M117">
            <v>0</v>
          </cell>
          <cell r="N117">
            <v>1060.9999999999998</v>
          </cell>
          <cell r="O117">
            <v>0.1</v>
          </cell>
          <cell r="P117">
            <v>1167.0999999999997</v>
          </cell>
          <cell r="Q117" t="str">
            <v>Ha</v>
          </cell>
          <cell r="S117" t="str">
            <v>This Activity covers the hand planting of tubestock plants across a broad area.</v>
          </cell>
        </row>
        <row r="118">
          <cell r="A118" t="str">
            <v>A1109</v>
          </cell>
          <cell r="B118" t="str">
            <v>Demolition</v>
          </cell>
          <cell r="C118" t="str">
            <v>Wastewater Treatment Plant (Tertiary Filtration System) - demolish and remove</v>
          </cell>
          <cell r="D118" t="str">
            <v>Ha</v>
          </cell>
          <cell r="E118">
            <v>6191.5699999999988</v>
          </cell>
          <cell r="F118">
            <v>0</v>
          </cell>
          <cell r="G118">
            <v>2536.2952380952374</v>
          </cell>
          <cell r="H118">
            <v>0</v>
          </cell>
          <cell r="I118">
            <v>8727.8652380952371</v>
          </cell>
          <cell r="J118">
            <v>6191.5699999999988</v>
          </cell>
          <cell r="K118">
            <v>0</v>
          </cell>
          <cell r="L118">
            <v>2536.2952380952374</v>
          </cell>
          <cell r="M118">
            <v>0</v>
          </cell>
          <cell r="N118">
            <v>8727.8652380952371</v>
          </cell>
          <cell r="O118">
            <v>0.1</v>
          </cell>
          <cell r="P118">
            <v>9600.6517619047609</v>
          </cell>
          <cell r="Q118" t="str">
            <v>Ha</v>
          </cell>
          <cell r="S118" t="str">
            <v>This activity is based on the type and capacity of the plant.  Rate is based on plant capacity in megalitres/day.  Includes the full demolition and removal to a designated dump on site.  8 modules to remove.</v>
          </cell>
        </row>
        <row r="119">
          <cell r="A119" t="str">
            <v>A1110</v>
          </cell>
          <cell r="B119" t="str">
            <v>Re-Vegetation</v>
          </cell>
          <cell r="C119" t="str">
            <v>Onsite remediation of hydrocarbon contaminated soils manual land farming</v>
          </cell>
          <cell r="D119" t="str">
            <v>m3</v>
          </cell>
          <cell r="E119">
            <v>0</v>
          </cell>
          <cell r="F119">
            <v>0</v>
          </cell>
          <cell r="G119">
            <v>0</v>
          </cell>
          <cell r="H119">
            <v>30</v>
          </cell>
          <cell r="I119">
            <v>30</v>
          </cell>
          <cell r="J119">
            <v>0</v>
          </cell>
          <cell r="K119">
            <v>0</v>
          </cell>
          <cell r="L119">
            <v>0</v>
          </cell>
          <cell r="M119">
            <v>30</v>
          </cell>
          <cell r="N119">
            <v>30</v>
          </cell>
          <cell r="O119">
            <v>0.1</v>
          </cell>
          <cell r="P119">
            <v>33</v>
          </cell>
          <cell r="Q119" t="str">
            <v>m3</v>
          </cell>
          <cell r="S119" t="str">
            <v>Spreading of contaminated soils on a prepared surface and stimulation of aerobic microbial activity within the soils through aeration and/or the addition of minerals, nutrients and moisture to promote the aerobic degradation of organic chemicals - time frame of up to 24 months.</v>
          </cell>
        </row>
        <row r="120">
          <cell r="A120" t="str">
            <v>A1111</v>
          </cell>
          <cell r="B120" t="str">
            <v>Earthworks</v>
          </cell>
          <cell r="C120" t="str">
            <v>Mobilisation and Demobilisation of Mobile Plant or Fixed Plant &lt; 30 Tonne Load</v>
          </cell>
          <cell r="D120" t="str">
            <v>Item</v>
          </cell>
          <cell r="E120">
            <v>0</v>
          </cell>
          <cell r="F120">
            <v>0</v>
          </cell>
          <cell r="G120">
            <v>0</v>
          </cell>
          <cell r="H120">
            <v>10</v>
          </cell>
          <cell r="I120">
            <v>10</v>
          </cell>
          <cell r="J120">
            <v>0</v>
          </cell>
          <cell r="K120">
            <v>0</v>
          </cell>
          <cell r="L120">
            <v>0</v>
          </cell>
          <cell r="M120">
            <v>10</v>
          </cell>
          <cell r="N120">
            <v>10</v>
          </cell>
          <cell r="O120">
            <v>0.1</v>
          </cell>
          <cell r="P120">
            <v>11</v>
          </cell>
          <cell r="Q120" t="str">
            <v>Item</v>
          </cell>
          <cell r="S120" t="str">
            <v>This activity returns the cost of transporting fixed or mobile plant to site and return.  Includes the cost of pilot vehicles as required based on the size and weight of the load.</v>
          </cell>
        </row>
        <row r="121">
          <cell r="A121" t="str">
            <v>A1112</v>
          </cell>
          <cell r="B121" t="str">
            <v>Earthworks</v>
          </cell>
          <cell r="C121" t="str">
            <v>Mobilisation and Demobilisation of Mobile Plant or Fixed Plant - 30 to 40 Tonne Load</v>
          </cell>
          <cell r="D121" t="str">
            <v>Item</v>
          </cell>
          <cell r="E121">
            <v>0</v>
          </cell>
          <cell r="F121">
            <v>0</v>
          </cell>
          <cell r="G121">
            <v>0</v>
          </cell>
          <cell r="H121">
            <v>16</v>
          </cell>
          <cell r="I121">
            <v>16</v>
          </cell>
          <cell r="J121">
            <v>0</v>
          </cell>
          <cell r="K121">
            <v>0</v>
          </cell>
          <cell r="L121">
            <v>0</v>
          </cell>
          <cell r="M121">
            <v>16</v>
          </cell>
          <cell r="N121">
            <v>16</v>
          </cell>
          <cell r="O121">
            <v>0.1</v>
          </cell>
          <cell r="P121">
            <v>17.600000000000001</v>
          </cell>
          <cell r="Q121" t="str">
            <v>Item</v>
          </cell>
          <cell r="S121" t="str">
            <v>This activity returns the cost of transporting fixed or mobile plant to site and return.  Includes the cost of pilot vehicles as required based on the size and weight of the load.</v>
          </cell>
        </row>
        <row r="122">
          <cell r="A122" t="str">
            <v>A1113</v>
          </cell>
          <cell r="B122" t="str">
            <v>Earthworks</v>
          </cell>
          <cell r="C122" t="str">
            <v>Mobilisation and Demobilisation of Mobile Plant or Fixed Plant &gt; 40 Tonne Load</v>
          </cell>
          <cell r="D122" t="str">
            <v>Item</v>
          </cell>
          <cell r="E122">
            <v>0</v>
          </cell>
          <cell r="F122">
            <v>0</v>
          </cell>
          <cell r="G122">
            <v>0</v>
          </cell>
          <cell r="H122">
            <v>21</v>
          </cell>
          <cell r="I122">
            <v>21</v>
          </cell>
          <cell r="J122">
            <v>0</v>
          </cell>
          <cell r="K122">
            <v>0</v>
          </cell>
          <cell r="L122">
            <v>0</v>
          </cell>
          <cell r="M122">
            <v>21</v>
          </cell>
          <cell r="N122">
            <v>21</v>
          </cell>
          <cell r="O122">
            <v>0.1</v>
          </cell>
          <cell r="P122">
            <v>23.1</v>
          </cell>
          <cell r="Q122" t="str">
            <v>Item</v>
          </cell>
          <cell r="S122" t="str">
            <v>This activity returns the cost of transporting fixed or mobile plant to site and return.  Includes the cost of pilot vehicles as required based on the size and weight of the load.</v>
          </cell>
        </row>
        <row r="123">
          <cell r="A123" t="str">
            <v>A1114</v>
          </cell>
          <cell r="B123" t="str">
            <v>Earthworks</v>
          </cell>
          <cell r="C123" t="str">
            <v>Load, cart and dispose of High Level contaminated material off site to licenced landfill</v>
          </cell>
          <cell r="D123" t="str">
            <v>m3</v>
          </cell>
          <cell r="E123">
            <v>1.0040935672514619</v>
          </cell>
          <cell r="F123">
            <v>200</v>
          </cell>
          <cell r="G123">
            <v>0.31023391812865497</v>
          </cell>
          <cell r="H123">
            <v>0</v>
          </cell>
          <cell r="I123">
            <v>201.31432748538012</v>
          </cell>
          <cell r="J123">
            <v>1.0040935672514619</v>
          </cell>
          <cell r="K123">
            <v>200</v>
          </cell>
          <cell r="L123">
            <v>0.31023391812865497</v>
          </cell>
          <cell r="M123">
            <v>0</v>
          </cell>
          <cell r="N123">
            <v>201.31432748538012</v>
          </cell>
          <cell r="O123">
            <v>0.1</v>
          </cell>
          <cell r="P123">
            <v>221.44576023391812</v>
          </cell>
          <cell r="Q123" t="str">
            <v>m3</v>
          </cell>
          <cell r="S123" t="str">
            <v>Load, cart and dispose of High Level contaminated material off site to licenced landfill. Assumes loading of semi trailer on site, cartage to a licenced landfill and payment of dump costs.</v>
          </cell>
        </row>
        <row r="124">
          <cell r="A124" t="str">
            <v>A1115</v>
          </cell>
          <cell r="B124" t="str">
            <v>Earthworks</v>
          </cell>
          <cell r="C124" t="str">
            <v>Load, cart and dispose of Low Level contaminated material off site to licenced landfill</v>
          </cell>
          <cell r="D124" t="str">
            <v>m3</v>
          </cell>
          <cell r="E124">
            <v>1.0040935672514619</v>
          </cell>
          <cell r="F124">
            <v>150</v>
          </cell>
          <cell r="G124">
            <v>0.31023391812865497</v>
          </cell>
          <cell r="H124">
            <v>0</v>
          </cell>
          <cell r="I124">
            <v>151.31432748538012</v>
          </cell>
          <cell r="J124">
            <v>1.0040935672514619</v>
          </cell>
          <cell r="K124">
            <v>150</v>
          </cell>
          <cell r="L124">
            <v>0.31023391812865497</v>
          </cell>
          <cell r="M124">
            <v>0</v>
          </cell>
          <cell r="N124">
            <v>151.31432748538012</v>
          </cell>
          <cell r="O124">
            <v>0.1</v>
          </cell>
          <cell r="P124">
            <v>166.44576023391812</v>
          </cell>
          <cell r="Q124" t="str">
            <v>m3</v>
          </cell>
          <cell r="S124" t="str">
            <v>Load, cart and dispose of Low Level contaminated material off site to licenced landfill. Assumes loading of semi trailer on site, cartage to a licenced landfill and payment of dump costs.</v>
          </cell>
        </row>
        <row r="125">
          <cell r="A125" t="str">
            <v>A1116</v>
          </cell>
          <cell r="B125" t="str">
            <v>Water Management</v>
          </cell>
          <cell r="C125" t="str">
            <v>Water Treatment Plant - RO desalination or ion exchanger system - demolish and remove - based on plant capacity in Mega Litres a Day</v>
          </cell>
          <cell r="D125" t="str">
            <v>MLD</v>
          </cell>
          <cell r="E125">
            <v>3882.0161111111111</v>
          </cell>
          <cell r="F125">
            <v>0</v>
          </cell>
          <cell r="G125">
            <v>1606.6571428571428</v>
          </cell>
          <cell r="H125">
            <v>0</v>
          </cell>
          <cell r="I125">
            <v>5488.6732539682544</v>
          </cell>
          <cell r="J125">
            <v>3882.0161111111111</v>
          </cell>
          <cell r="K125">
            <v>0</v>
          </cell>
          <cell r="L125">
            <v>1606.6571428571428</v>
          </cell>
          <cell r="M125">
            <v>0</v>
          </cell>
          <cell r="N125">
            <v>5488.6732539682544</v>
          </cell>
          <cell r="O125">
            <v>0.1</v>
          </cell>
          <cell r="P125">
            <v>6037.5405793650798</v>
          </cell>
          <cell r="Q125" t="str">
            <v>MLD</v>
          </cell>
          <cell r="S125" t="str">
            <v>The activity is based on a RO type of water treatment plant.  Whilst there are a variety of water treatment plants, RO plants are more common and have been assessed as average in cost to demolish and remove.</v>
          </cell>
        </row>
        <row r="126">
          <cell r="A126" t="str">
            <v>A1117</v>
          </cell>
          <cell r="B126" t="str">
            <v>Water Management</v>
          </cell>
          <cell r="C126" t="str">
            <v xml:space="preserve">Wastewater Treatment Plant - anoxic and aeration tank (activated sludge process) - demolish and remove </v>
          </cell>
          <cell r="D126" t="str">
            <v>MLD</v>
          </cell>
          <cell r="E126">
            <v>5463.1599999999989</v>
          </cell>
          <cell r="F126">
            <v>0</v>
          </cell>
          <cell r="G126">
            <v>9700.5714285714275</v>
          </cell>
          <cell r="H126">
            <v>0</v>
          </cell>
          <cell r="I126">
            <v>15163.731428571427</v>
          </cell>
          <cell r="J126">
            <v>5463.1599999999989</v>
          </cell>
          <cell r="K126">
            <v>0</v>
          </cell>
          <cell r="L126">
            <v>9700.5714285714275</v>
          </cell>
          <cell r="M126">
            <v>0</v>
          </cell>
          <cell r="N126">
            <v>15163.731428571427</v>
          </cell>
          <cell r="O126">
            <v>0.1</v>
          </cell>
          <cell r="P126">
            <v>16680.104571428572</v>
          </cell>
          <cell r="Q126" t="str">
            <v>MLD</v>
          </cell>
          <cell r="S126" t="str">
            <v>This activity is based on the type and capacity of the plant.  Rate is based on plant capacity in megalitres/day.  Includes the full demolition and removal to a designated dump on site.</v>
          </cell>
        </row>
        <row r="127">
          <cell r="A127" t="str">
            <v>A1118</v>
          </cell>
          <cell r="B127" t="str">
            <v>Demolition</v>
          </cell>
          <cell r="C127" t="str">
            <v>Remove ventilation fans (excluding underground infrastructure)</v>
          </cell>
          <cell r="D127" t="str">
            <v>Item</v>
          </cell>
          <cell r="E127">
            <v>41.623999999999995</v>
          </cell>
          <cell r="F127">
            <v>0</v>
          </cell>
          <cell r="G127">
            <v>9761.2999999999975</v>
          </cell>
          <cell r="H127">
            <v>0</v>
          </cell>
          <cell r="I127">
            <v>9802.9239999999972</v>
          </cell>
          <cell r="J127">
            <v>41.623999999999995</v>
          </cell>
          <cell r="K127">
            <v>0</v>
          </cell>
          <cell r="L127">
            <v>9761.2999999999975</v>
          </cell>
          <cell r="M127">
            <v>0</v>
          </cell>
          <cell r="N127">
            <v>9802.9239999999972</v>
          </cell>
          <cell r="O127">
            <v>0.1</v>
          </cell>
          <cell r="P127">
            <v>10783.216399999998</v>
          </cell>
          <cell r="Q127" t="str">
            <v>Item</v>
          </cell>
          <cell r="S127" t="str">
            <v>Remove ventilation fans (excluding underground infrastructure)</v>
          </cell>
        </row>
        <row r="128">
          <cell r="A128" t="str">
            <v>A1119</v>
          </cell>
          <cell r="B128" t="str">
            <v>Demolition</v>
          </cell>
          <cell r="C128" t="str">
            <v>Seal access and ventilation shafts, including backfill above seal with 2 m earthen material</v>
          </cell>
          <cell r="D128" t="str">
            <v>Item</v>
          </cell>
          <cell r="E128">
            <v>10551.683999999997</v>
          </cell>
          <cell r="F128">
            <v>102.02</v>
          </cell>
          <cell r="G128">
            <v>1167.0999999999999</v>
          </cell>
          <cell r="H128">
            <v>0</v>
          </cell>
          <cell r="I128">
            <v>11820.803999999998</v>
          </cell>
          <cell r="J128">
            <v>10551.683999999997</v>
          </cell>
          <cell r="K128">
            <v>102.02</v>
          </cell>
          <cell r="L128">
            <v>1167.0999999999999</v>
          </cell>
          <cell r="M128">
            <v>0</v>
          </cell>
          <cell r="N128">
            <v>11820.803999999998</v>
          </cell>
          <cell r="O128">
            <v>0.1</v>
          </cell>
          <cell r="P128">
            <v>13002.884399999999</v>
          </cell>
          <cell r="Q128" t="str">
            <v>Item</v>
          </cell>
          <cell r="S128" t="str">
            <v>This Activity includes the closure of access to ventilation shafts including the installation of a reinforced concrete slab and earthen cover.</v>
          </cell>
        </row>
        <row r="129">
          <cell r="A129" t="str">
            <v>A1120</v>
          </cell>
          <cell r="B129" t="str">
            <v>Demolition</v>
          </cell>
          <cell r="C129" t="str">
            <v>Remove access shaft lift and superstructure (not exceeding 50 tonnes) (excluding removal of in-shaft components)</v>
          </cell>
          <cell r="D129" t="str">
            <v>Item</v>
          </cell>
          <cell r="E129">
            <v>19729.775999999994</v>
          </cell>
          <cell r="F129">
            <v>0</v>
          </cell>
          <cell r="G129">
            <v>9761.2999999999975</v>
          </cell>
          <cell r="H129">
            <v>0</v>
          </cell>
          <cell r="I129">
            <v>29491.075999999994</v>
          </cell>
          <cell r="J129">
            <v>19729.775999999994</v>
          </cell>
          <cell r="K129">
            <v>0</v>
          </cell>
          <cell r="L129">
            <v>9761.2999999999975</v>
          </cell>
          <cell r="M129">
            <v>0</v>
          </cell>
          <cell r="N129">
            <v>29491.075999999994</v>
          </cell>
          <cell r="O129">
            <v>0.1</v>
          </cell>
          <cell r="P129">
            <v>32440.183599999993</v>
          </cell>
          <cell r="Q129" t="str">
            <v>Item</v>
          </cell>
          <cell r="S129" t="str">
            <v xml:space="preserve">Rate excludes removal of in-shaft components. </v>
          </cell>
        </row>
        <row r="130">
          <cell r="A130" t="str">
            <v>A1121</v>
          </cell>
          <cell r="B130" t="str">
            <v>Demolition</v>
          </cell>
          <cell r="C130" t="str">
            <v xml:space="preserve">Non-Degradeable Plug Seal for Exploration Drillhole </v>
          </cell>
          <cell r="D130" t="str">
            <v>Item</v>
          </cell>
          <cell r="E130">
            <v>0</v>
          </cell>
          <cell r="F130">
            <v>40.81</v>
          </cell>
          <cell r="G130">
            <v>0</v>
          </cell>
          <cell r="H130">
            <v>0</v>
          </cell>
          <cell r="I130">
            <v>40.81</v>
          </cell>
          <cell r="J130">
            <v>0</v>
          </cell>
          <cell r="K130">
            <v>40.81</v>
          </cell>
          <cell r="L130">
            <v>0</v>
          </cell>
          <cell r="M130">
            <v>0</v>
          </cell>
          <cell r="N130">
            <v>40.81</v>
          </cell>
          <cell r="O130">
            <v>0.1</v>
          </cell>
          <cell r="P130">
            <v>44.891000000000005</v>
          </cell>
          <cell r="Q130" t="str">
            <v>Item</v>
          </cell>
          <cell r="S130" t="str">
            <v>Plug required to seal drill holes at surface.</v>
          </cell>
        </row>
        <row r="131">
          <cell r="A131" t="str">
            <v>A1122</v>
          </cell>
          <cell r="B131" t="str">
            <v>Demolition</v>
          </cell>
          <cell r="C131" t="str">
            <v>260mm Diameter Drillholes 
Backfill, Cap and Seal Drill Holes  (Backfill hole with cuttings etc, cut off below ground level and seal the top of the hole before covering with soil and burying any remaining cuttings)</v>
          </cell>
          <cell r="D131" t="str">
            <v>Holes</v>
          </cell>
          <cell r="E131">
            <v>1.9225425498775186</v>
          </cell>
          <cell r="F131">
            <v>0</v>
          </cell>
          <cell r="G131">
            <v>3.9023809523809523</v>
          </cell>
          <cell r="H131">
            <v>0</v>
          </cell>
          <cell r="I131">
            <v>5.8249235022584713</v>
          </cell>
          <cell r="J131">
            <v>1.9225425498775186</v>
          </cell>
          <cell r="K131">
            <v>0</v>
          </cell>
          <cell r="L131">
            <v>3.9023809523809523</v>
          </cell>
          <cell r="M131">
            <v>0</v>
          </cell>
          <cell r="N131">
            <v>5.8249235022584713</v>
          </cell>
          <cell r="O131">
            <v>0.1</v>
          </cell>
          <cell r="P131">
            <v>6.4074158524843181</v>
          </cell>
          <cell r="Q131" t="str">
            <v>Holes</v>
          </cell>
          <cell r="S131" t="str">
            <v>This activity can be applied to drill holes which do not need grouting.  The hole casing is to be  cut off 1 metre below ground level and sealed.  Remaining cuttings are buried by excavating a small scrape adjacent to the cuttings.  The ground is then reshaped over the hole and scraped to allow natural revegetation of the area and removal of all traces of the hole.  Any and all rubbish is to be removed to an approved dump.</v>
          </cell>
        </row>
        <row r="132">
          <cell r="A132" t="str">
            <v>A1123</v>
          </cell>
          <cell r="B132" t="str">
            <v>Demolition</v>
          </cell>
          <cell r="C132" t="str">
            <v>200mm Diameter Drillholes 
Backfill, Cap and Seal Drill Holes  (Backfill hole with cuttings etc, cut off below ground level and seal the top of the hole before covering with soil and burying any remaining cuttings)</v>
          </cell>
          <cell r="D132" t="str">
            <v>Holes</v>
          </cell>
          <cell r="E132">
            <v>1.6402755731922398</v>
          </cell>
          <cell r="F132">
            <v>0</v>
          </cell>
          <cell r="G132">
            <v>3.0875661375661374</v>
          </cell>
          <cell r="H132">
            <v>0</v>
          </cell>
          <cell r="I132">
            <v>4.7278417107583772</v>
          </cell>
          <cell r="J132">
            <v>1.6402755731922398</v>
          </cell>
          <cell r="K132">
            <v>0</v>
          </cell>
          <cell r="L132">
            <v>3.0875661375661374</v>
          </cell>
          <cell r="M132">
            <v>0</v>
          </cell>
          <cell r="N132">
            <v>4.7278417107583772</v>
          </cell>
          <cell r="O132">
            <v>0.1</v>
          </cell>
          <cell r="P132">
            <v>5.200625881834215</v>
          </cell>
          <cell r="Q132" t="str">
            <v>Holes</v>
          </cell>
          <cell r="S132" t="str">
            <v>This activity can be applied to drill holes which do not need grouting.  The hole casing is to be  cut off 1 metre below ground level and sealed.  Remaining cuttings are buried by excavating a small scrape adjacent to the cuttings.  The ground is then reshaped over the hole and scraped to allow natural revegetation of the area and removal of all traces of the hole.  Any and all rubbish is to be removed to an approved dump.</v>
          </cell>
        </row>
        <row r="133">
          <cell r="A133" t="str">
            <v>A1124</v>
          </cell>
          <cell r="B133" t="str">
            <v>Demolition</v>
          </cell>
          <cell r="C133" t="str">
            <v>140mm Diameter Drillholes 
Backfill, Cap and Seal Drill Holes  (Backfill hole with cuttings etc, cut off below ground level and seal the top of the hole before covering with soil and burying any remaining cuttings)</v>
          </cell>
          <cell r="D133" t="str">
            <v>Holes</v>
          </cell>
          <cell r="E133">
            <v>0.80373503086419773</v>
          </cell>
          <cell r="F133">
            <v>0</v>
          </cell>
          <cell r="G133">
            <v>1.5129074074074076</v>
          </cell>
          <cell r="H133">
            <v>0</v>
          </cell>
          <cell r="I133">
            <v>2.3166424382716055</v>
          </cell>
          <cell r="J133">
            <v>0.80373503086419773</v>
          </cell>
          <cell r="K133">
            <v>0</v>
          </cell>
          <cell r="L133">
            <v>1.5129074074074076</v>
          </cell>
          <cell r="M133">
            <v>0</v>
          </cell>
          <cell r="N133">
            <v>2.3166424382716055</v>
          </cell>
          <cell r="O133">
            <v>0.1</v>
          </cell>
          <cell r="P133">
            <v>2.5483066820987661</v>
          </cell>
          <cell r="Q133" t="str">
            <v>Holes</v>
          </cell>
          <cell r="S133" t="str">
            <v>This activity can be applied to drill holes which do not need grouting.  The hole casing is to be cut off 1 metre below ground level and sealed.  Remaining cuttings are buried by excavating a small scrape adjacent to the cuttings.  The ground is then reshaped over the hole and scraped to allow natural revegetation of the area and removal of all traces of the hole.  Any and all rubbish is to be removed to an approved dump.</v>
          </cell>
        </row>
        <row r="134">
          <cell r="A134" t="str">
            <v>A1125</v>
          </cell>
          <cell r="B134" t="str">
            <v>Demolition</v>
          </cell>
          <cell r="C134" t="str">
            <v>125mm Diameter Drillholes 
Backfill, Cap and Seal Drill Holes  (Backfill hole with cuttings etc, cut off below ground level and seal the top of the hole before covering with soil and burying any remaining cuttings)</v>
          </cell>
          <cell r="D134" t="str">
            <v>Holes</v>
          </cell>
          <cell r="E134">
            <v>0.64073264577821865</v>
          </cell>
          <cell r="F134">
            <v>0</v>
          </cell>
          <cell r="G134">
            <v>1.2060805224867723</v>
          </cell>
          <cell r="H134">
            <v>0</v>
          </cell>
          <cell r="I134">
            <v>1.8468131682649909</v>
          </cell>
          <cell r="J134">
            <v>0.64073264577821865</v>
          </cell>
          <cell r="K134">
            <v>0</v>
          </cell>
          <cell r="L134">
            <v>1.2060805224867723</v>
          </cell>
          <cell r="M134">
            <v>0</v>
          </cell>
          <cell r="N134">
            <v>1.8468131682649909</v>
          </cell>
          <cell r="O134">
            <v>0.1</v>
          </cell>
          <cell r="P134">
            <v>2.03149448509149</v>
          </cell>
          <cell r="Q134" t="str">
            <v>Holes</v>
          </cell>
          <cell r="S134" t="str">
            <v>This activity can be applied to drill holes which do not need grouting.  The hole casing is to be  cut off 1 metre below ground level and sealed.  Remaining cuttings are buried by excavating a small scrape adjacent to the cuttings.  The ground is then reshaped over the hole and scraped to allow natural revegetation of the area and removal of all traces of the hole.  Any and all rubbish is to be removed to an approved dump.</v>
          </cell>
        </row>
        <row r="135">
          <cell r="A135" t="str">
            <v>A1126</v>
          </cell>
          <cell r="B135" t="str">
            <v>Demolition</v>
          </cell>
          <cell r="C135" t="str">
            <v>100mm Diameter Drillholes 
Backfill, Cap and Seal Drill Holes  (Backfill hole with cuttings etc, cut off below ground level and seal the top of the hole before covering with soil and burying any remaining cuttings)</v>
          </cell>
          <cell r="D135" t="str">
            <v>Holes</v>
          </cell>
          <cell r="E135">
            <v>0.41006889329805996</v>
          </cell>
          <cell r="F135">
            <v>0</v>
          </cell>
          <cell r="G135">
            <v>0.77189153439153435</v>
          </cell>
          <cell r="H135">
            <v>0</v>
          </cell>
          <cell r="I135">
            <v>1.1819604276895943</v>
          </cell>
          <cell r="J135">
            <v>0.41006889329805996</v>
          </cell>
          <cell r="K135">
            <v>0</v>
          </cell>
          <cell r="L135">
            <v>0.77189153439153435</v>
          </cell>
          <cell r="M135">
            <v>0</v>
          </cell>
          <cell r="N135">
            <v>1.1819604276895943</v>
          </cell>
          <cell r="O135">
            <v>0.1</v>
          </cell>
          <cell r="P135">
            <v>1.3001564704585538</v>
          </cell>
          <cell r="Q135" t="str">
            <v>Holes</v>
          </cell>
          <cell r="S135" t="str">
            <v>This activity can be applied to drill holes which do not need grouting.  The hole casing is to be  cut off 1 metre below ground level and sealed.  Remaining cuttings are buried by excavating a small scrape adjacent to the cuttings.  The ground is then reshaped over the hole and scraped to allow natural revegetation of the area and removal of all traces of the hole.  Any and all rubbish is to be removed to an approved dump.</v>
          </cell>
        </row>
        <row r="136">
          <cell r="A136" t="str">
            <v>A1127</v>
          </cell>
          <cell r="B136" t="str">
            <v>Demolition</v>
          </cell>
          <cell r="C136" t="str">
            <v>75mm Diameter Drillholes 
Backfill, Cap and Seal Drill Holes  (Backfill hole with cuttings etc, cut off below ground level and seal the top of the hole before covering with soil and burying any remaining cuttings)</v>
          </cell>
          <cell r="D136" t="str">
            <v>Holes</v>
          </cell>
          <cell r="E136">
            <v>0.23066375248015872</v>
          </cell>
          <cell r="F136">
            <v>0</v>
          </cell>
          <cell r="G136">
            <v>0.43418898809523804</v>
          </cell>
          <cell r="H136">
            <v>0</v>
          </cell>
          <cell r="I136">
            <v>0.66485274057539678</v>
          </cell>
          <cell r="J136">
            <v>0.23066375248015872</v>
          </cell>
          <cell r="K136">
            <v>0</v>
          </cell>
          <cell r="L136">
            <v>0.43418898809523804</v>
          </cell>
          <cell r="M136">
            <v>0</v>
          </cell>
          <cell r="N136">
            <v>0.66485274057539678</v>
          </cell>
          <cell r="O136">
            <v>0.1</v>
          </cell>
          <cell r="P136">
            <v>0.73133801463293646</v>
          </cell>
          <cell r="Q136" t="str">
            <v>Holes</v>
          </cell>
          <cell r="S136" t="str">
            <v>This activity can be applied to drill holes which do not need grouting.  The hole casing is to be  cut off 1 metre below ground level and sealed.  Remaining cuttings are buried by excavating a small scrape adjacent to the cuttings.  The ground is then reshaped over the hole and scraped to allow natural revegetation of the area and removal of all traces of the hole.  Any and all rubbish is to be removed to an approved dump.</v>
          </cell>
        </row>
        <row r="137">
          <cell r="A137" t="str">
            <v>A1128</v>
          </cell>
          <cell r="B137" t="str">
            <v>Demolition</v>
          </cell>
          <cell r="C137" t="str">
            <v>260mm Diameter - Drillhole
Grouting and rehabilitation of drillholes through aquifer zones including 15m above and below the zone (refer to SA Earth Resources Information Sheet M21)</v>
          </cell>
          <cell r="D137" t="str">
            <v>Holes</v>
          </cell>
          <cell r="E137">
            <v>0</v>
          </cell>
          <cell r="F137">
            <v>14.927286245353162</v>
          </cell>
          <cell r="G137">
            <v>0</v>
          </cell>
          <cell r="H137">
            <v>0</v>
          </cell>
          <cell r="I137">
            <v>14.927286245353162</v>
          </cell>
          <cell r="J137">
            <v>0</v>
          </cell>
          <cell r="K137">
            <v>14.927286245353162</v>
          </cell>
          <cell r="L137">
            <v>0</v>
          </cell>
          <cell r="M137">
            <v>0</v>
          </cell>
          <cell r="N137">
            <v>14.927286245353162</v>
          </cell>
          <cell r="O137">
            <v>0.1</v>
          </cell>
          <cell r="P137">
            <v>16.42001486988848</v>
          </cell>
          <cell r="Q137" t="str">
            <v>$/m</v>
          </cell>
          <cell r="S137" t="str">
            <v>This Activity covers the grouting of drillholes which intersect aquifers.  Length of grouting to include multiple aquifers plus 15m above and below each aquifer.</v>
          </cell>
        </row>
        <row r="138">
          <cell r="A138" t="str">
            <v>A1129</v>
          </cell>
          <cell r="B138" t="str">
            <v>Demolition</v>
          </cell>
          <cell r="C138" t="str">
            <v>200mm Diameter - Drillhole
Grouting and rehabilitation of drillholes through aquifer zones including 15m above and below the zone (refer to SA Earth Resources Information Sheet M21)</v>
          </cell>
          <cell r="D138" t="str">
            <v>Holes</v>
          </cell>
          <cell r="E138">
            <v>0</v>
          </cell>
          <cell r="F138">
            <v>8.8327137546468411</v>
          </cell>
          <cell r="G138">
            <v>0</v>
          </cell>
          <cell r="H138">
            <v>0</v>
          </cell>
          <cell r="I138">
            <v>8.8327137546468411</v>
          </cell>
          <cell r="J138">
            <v>0</v>
          </cell>
          <cell r="K138">
            <v>8.8327137546468411</v>
          </cell>
          <cell r="L138">
            <v>0</v>
          </cell>
          <cell r="M138">
            <v>0</v>
          </cell>
          <cell r="N138">
            <v>8.8327137546468411</v>
          </cell>
          <cell r="O138">
            <v>0.1</v>
          </cell>
          <cell r="P138">
            <v>9.715985130111525</v>
          </cell>
          <cell r="Q138" t="str">
            <v>$/m</v>
          </cell>
          <cell r="S138" t="str">
            <v>This Activity covers the grouting of drillholes which intersect aquifers.  Length of grouting to include multiple aquifers plus 15m above and below each aquifer.</v>
          </cell>
        </row>
        <row r="139">
          <cell r="A139" t="str">
            <v>A1130</v>
          </cell>
          <cell r="B139" t="str">
            <v>Demolition</v>
          </cell>
          <cell r="C139" t="str">
            <v>140mm Diameter - Drillhole
Grouting and rehabilitation of drillholes through aquifer zones including 15m above and below the zone (refer to SA Earth Resources Information Sheet M21)</v>
          </cell>
          <cell r="D139" t="str">
            <v>Holes</v>
          </cell>
          <cell r="E139">
            <v>144.23149999999998</v>
          </cell>
          <cell r="F139">
            <v>867.76996282527909</v>
          </cell>
          <cell r="G139">
            <v>80.459999999999994</v>
          </cell>
          <cell r="H139">
            <v>0</v>
          </cell>
          <cell r="I139">
            <v>1092.4614628252791</v>
          </cell>
          <cell r="J139">
            <v>144.23149999999998</v>
          </cell>
          <cell r="K139">
            <v>867.76996282527909</v>
          </cell>
          <cell r="L139">
            <v>80.459999999999994</v>
          </cell>
          <cell r="M139">
            <v>0</v>
          </cell>
          <cell r="N139">
            <v>1092.4614628252791</v>
          </cell>
          <cell r="O139">
            <v>0.1</v>
          </cell>
          <cell r="P139">
            <v>1201.707609107807</v>
          </cell>
          <cell r="Q139" t="str">
            <v>$/m</v>
          </cell>
          <cell r="S139" t="str">
            <v>This Activity covers the grouting of drillholes which intersect aquifers.  Length of grouting to include multiple aquifers plus 15m above and below each aquifer.</v>
          </cell>
        </row>
        <row r="140">
          <cell r="A140" t="str">
            <v>A1131</v>
          </cell>
          <cell r="B140" t="str">
            <v>Demolition</v>
          </cell>
          <cell r="C140" t="str">
            <v>125mm Diameter - Drillhole
Grouting and rehabilitation of drillholes through aquifer zones including 15m above and below the zone (refer to SA Earth Resources Information Sheet M21)</v>
          </cell>
          <cell r="D140" t="str">
            <v>Holes</v>
          </cell>
          <cell r="E140">
            <v>144.23149999999998</v>
          </cell>
          <cell r="F140">
            <v>691.78090148698891</v>
          </cell>
          <cell r="G140">
            <v>80.459999999999994</v>
          </cell>
          <cell r="H140">
            <v>0</v>
          </cell>
          <cell r="I140">
            <v>916.47240148698893</v>
          </cell>
          <cell r="J140">
            <v>144.23149999999998</v>
          </cell>
          <cell r="K140">
            <v>691.78090148698891</v>
          </cell>
          <cell r="L140">
            <v>80.459999999999994</v>
          </cell>
          <cell r="M140">
            <v>0</v>
          </cell>
          <cell r="N140">
            <v>916.47240148698893</v>
          </cell>
          <cell r="O140">
            <v>0.1</v>
          </cell>
          <cell r="P140">
            <v>1008.1196416356878</v>
          </cell>
          <cell r="Q140" t="str">
            <v>$/m</v>
          </cell>
          <cell r="S140" t="str">
            <v>This Activity covers the grouting of drillholes which intersect aquifers.  Length of grouting to include multiple aquifers plus 15m above and below each aquifer.</v>
          </cell>
        </row>
        <row r="141">
          <cell r="A141" t="str">
            <v>A1132</v>
          </cell>
          <cell r="B141" t="str">
            <v>Demolition</v>
          </cell>
          <cell r="C141" t="str">
            <v>100mm Diameter - Drillhole
Grouting and rehabilitation of drillholes through aquifer zones including 15m above and below the zone (refer to SA Earth Resources Information Sheet M21)</v>
          </cell>
          <cell r="D141" t="str">
            <v>Holes</v>
          </cell>
          <cell r="E141">
            <v>0</v>
          </cell>
          <cell r="F141">
            <v>2.2081784386617103</v>
          </cell>
          <cell r="G141">
            <v>0</v>
          </cell>
          <cell r="H141">
            <v>0</v>
          </cell>
          <cell r="I141">
            <v>2.2081784386617103</v>
          </cell>
          <cell r="J141">
            <v>0</v>
          </cell>
          <cell r="K141">
            <v>2.2081784386617103</v>
          </cell>
          <cell r="L141">
            <v>0</v>
          </cell>
          <cell r="M141">
            <v>0</v>
          </cell>
          <cell r="N141">
            <v>2.2081784386617103</v>
          </cell>
          <cell r="O141">
            <v>0.1</v>
          </cell>
          <cell r="P141">
            <v>2.4289962825278812</v>
          </cell>
          <cell r="Q141" t="str">
            <v>$/m</v>
          </cell>
          <cell r="S141" t="str">
            <v>This Activity covers the grouting of drillholes which intersect aquifers.  Length of grouting to include multiple aquifers plus 15m above and below each aquifer.</v>
          </cell>
        </row>
        <row r="142">
          <cell r="A142" t="str">
            <v>A1133</v>
          </cell>
          <cell r="B142" t="str">
            <v>Demolition</v>
          </cell>
          <cell r="C142" t="str">
            <v>75mm Diameter - Drillhole
Grouting and rehabilitation of drillholes through aquifer zones including 15m above and below the zone (refer to SA Earth Resources Information Sheet M21)</v>
          </cell>
          <cell r="D142" t="str">
            <v>Holes</v>
          </cell>
          <cell r="E142">
            <v>0</v>
          </cell>
          <cell r="F142">
            <v>1.2421003717472121</v>
          </cell>
          <cell r="G142">
            <v>0</v>
          </cell>
          <cell r="H142">
            <v>0</v>
          </cell>
          <cell r="I142">
            <v>1.2421003717472121</v>
          </cell>
          <cell r="J142">
            <v>0</v>
          </cell>
          <cell r="K142">
            <v>1.2421003717472121</v>
          </cell>
          <cell r="L142">
            <v>0</v>
          </cell>
          <cell r="M142">
            <v>0</v>
          </cell>
          <cell r="N142">
            <v>1.2421003717472121</v>
          </cell>
          <cell r="O142">
            <v>0.1</v>
          </cell>
          <cell r="P142">
            <v>1.3663104089219333</v>
          </cell>
          <cell r="Q142" t="str">
            <v>$/m</v>
          </cell>
          <cell r="S142" t="str">
            <v>This Activity covers the grouting of drillholes which intersect aquifers.  Length of grouting to include multiple aquifers plus 15m above and below each aquifer.</v>
          </cell>
        </row>
        <row r="143">
          <cell r="A143" t="str">
            <v>A1134</v>
          </cell>
          <cell r="B143" t="str">
            <v>Demolition</v>
          </cell>
          <cell r="C143" t="str">
            <v>Machine and Labour Base Cost for Grouting Drillholes</v>
          </cell>
          <cell r="D143" t="str">
            <v>$/hr</v>
          </cell>
          <cell r="E143">
            <v>188.46299999999999</v>
          </cell>
          <cell r="F143">
            <v>0</v>
          </cell>
          <cell r="G143">
            <v>160.91999999999999</v>
          </cell>
          <cell r="H143">
            <v>0</v>
          </cell>
          <cell r="I143">
            <v>349.38299999999998</v>
          </cell>
          <cell r="J143">
            <v>188.46299999999999</v>
          </cell>
          <cell r="K143">
            <v>0</v>
          </cell>
          <cell r="L143">
            <v>160.91999999999999</v>
          </cell>
          <cell r="M143">
            <v>0</v>
          </cell>
          <cell r="N143">
            <v>349.38299999999998</v>
          </cell>
          <cell r="O143">
            <v>0.1</v>
          </cell>
          <cell r="P143">
            <v>384.32129999999995</v>
          </cell>
          <cell r="Q143" t="str">
            <v>$/hr</v>
          </cell>
          <cell r="S143" t="str">
            <v xml:space="preserve">This Activity covers the grouting of drillholes which intersect aquifers. </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27">
          <cell r="U27" t="str">
            <v>&lt;50m3</v>
          </cell>
        </row>
        <row r="28">
          <cell r="U28" t="str">
            <v>&gt;50m3 &lt;100m3</v>
          </cell>
        </row>
        <row r="29">
          <cell r="U29" t="str">
            <v>&gt;100m3 &lt;500m3</v>
          </cell>
        </row>
        <row r="30">
          <cell r="U30" t="str">
            <v>&gt;500m3</v>
          </cell>
        </row>
        <row r="31">
          <cell r="U31" t="str">
            <v>Select Volume</v>
          </cell>
        </row>
      </sheetData>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Version Control"/>
      <sheetName val="Input Page"/>
      <sheetName val="Summary Page"/>
      <sheetName val="Distance Sheet"/>
      <sheetName val="Activities"/>
      <sheetName val="PC 1 Exploration"/>
      <sheetName val="PC 2 Underground Workings"/>
      <sheetName val="PC 3 Open Cut Pit 1"/>
      <sheetName val="PC 3 Open Cut Pit 2"/>
      <sheetName val="PC 3 Open Cut Pit 3"/>
      <sheetName val="PC 4 Waste Dumps 1"/>
      <sheetName val="PC 4 Waste Dumps 2"/>
      <sheetName val="PC 4 Waste Dumps 3"/>
      <sheetName val="PC 5 Processing Facilities"/>
      <sheetName val="PC 6 Tailings Storage 1"/>
      <sheetName val="PC 6 Tailings Storage 2"/>
      <sheetName val="PC 6 Tailings Storage 3"/>
      <sheetName val="PC 7 Heap Leach Facilities 1"/>
      <sheetName val="PC 7 Heap Leach Facilities  2"/>
      <sheetName val="PC 8 Rail Facilities"/>
      <sheetName val="PC 9 Haul and Access Roads"/>
      <sheetName val="PC 10 Admin and Accommodation"/>
      <sheetName val="PC 11 Ancillary Areas "/>
      <sheetName val="PC 12 Borrow Pits"/>
      <sheetName val="PC 13 Services Infrastructure 1"/>
      <sheetName val="PC 13 Services Infrastructure 2"/>
      <sheetName val="PC 13 Services Infrastructure 3"/>
      <sheetName val="PC 14 Water Management"/>
      <sheetName val="PC 15 ISR Uranium Mines 1 "/>
      <sheetName val="PC 15 ISR Uranium Mines 2"/>
      <sheetName val="PC 15 ISR Uranium Mines 3"/>
      <sheetName val="PC 16 Equipment Mob &amp; Demob"/>
      <sheetName val="Mob &amp; Demob Equipment List"/>
      <sheetName val="PC 17 Monitoring and Other Cost"/>
      <sheetName val="Calcula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27">
          <cell r="U27" t="str">
            <v>&lt;50m3</v>
          </cell>
        </row>
        <row r="28">
          <cell r="U28" t="str">
            <v>&gt;50m3 &lt;100m3</v>
          </cell>
        </row>
        <row r="29">
          <cell r="U29" t="str">
            <v>&gt;100m3 &lt;500m3</v>
          </cell>
        </row>
        <row r="30">
          <cell r="U30" t="str">
            <v>&gt;500m3</v>
          </cell>
        </row>
        <row r="31">
          <cell r="U31" t="str">
            <v>Select Volume</v>
          </cell>
        </row>
      </sheetData>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itle Page"/>
      <sheetName val="Plant Costs"/>
      <sheetName val="Material Costs"/>
      <sheetName val="Labour Costs"/>
      <sheetName val="Task Costs"/>
      <sheetName val="List of Activities"/>
      <sheetName val="Activities by Category"/>
      <sheetName val="A1001"/>
      <sheetName val="A1002"/>
      <sheetName val="A1003"/>
      <sheetName val="A1004"/>
      <sheetName val="A1005"/>
      <sheetName val="A1006"/>
      <sheetName val="A1007"/>
      <sheetName val="A1008"/>
      <sheetName val="A1009"/>
      <sheetName val="A1010"/>
      <sheetName val="A1011"/>
      <sheetName val="A1012"/>
      <sheetName val="A1013"/>
      <sheetName val="A1014"/>
      <sheetName val="A1015"/>
      <sheetName val="A1016"/>
      <sheetName val="A1017"/>
      <sheetName val="A1018"/>
      <sheetName val="A1019"/>
      <sheetName val="A1020"/>
      <sheetName val="A1021"/>
      <sheetName val="A1022"/>
      <sheetName val="A1023"/>
      <sheetName val="A1029"/>
      <sheetName val="A1030"/>
      <sheetName val="A1031"/>
      <sheetName val="A1032"/>
      <sheetName val="A1033"/>
      <sheetName val="A1034"/>
      <sheetName val="A1035"/>
      <sheetName val="A1036"/>
      <sheetName val="A1037"/>
      <sheetName val="A1038"/>
      <sheetName val="A1039"/>
      <sheetName val="A1040"/>
      <sheetName val="A1041"/>
      <sheetName val="A1042"/>
      <sheetName val="A1043"/>
      <sheetName val="A1044"/>
      <sheetName val="A1045"/>
      <sheetName val="A1046"/>
      <sheetName val="A1047"/>
      <sheetName val="A1048"/>
      <sheetName val="A1049"/>
      <sheetName val="A1050"/>
      <sheetName val="A1051"/>
      <sheetName val="A1052"/>
      <sheetName val="A1053"/>
      <sheetName val="A1054"/>
      <sheetName val="A1055"/>
      <sheetName val="A1056"/>
      <sheetName val="A1057"/>
      <sheetName val="A1058"/>
      <sheetName val="A1059"/>
      <sheetName val="A1060"/>
      <sheetName val="A1061"/>
      <sheetName val="A1062"/>
      <sheetName val="A1063"/>
      <sheetName val="A1064"/>
      <sheetName val="A1065"/>
      <sheetName val="A1066"/>
      <sheetName val="A1067"/>
      <sheetName val="A1068"/>
      <sheetName val="A1069"/>
      <sheetName val="A1070"/>
      <sheetName val="A1071"/>
      <sheetName val="A1072"/>
      <sheetName val="A1073"/>
      <sheetName val="A1074"/>
      <sheetName val="A1075"/>
      <sheetName val="A1076"/>
      <sheetName val="A1077"/>
      <sheetName val="A1078"/>
      <sheetName val="A1079"/>
      <sheetName val="A1080"/>
      <sheetName val="A1081"/>
      <sheetName val="A1082"/>
      <sheetName val="A1083"/>
      <sheetName val="A1084"/>
      <sheetName val="A1085"/>
      <sheetName val="A1086"/>
      <sheetName val="A1087"/>
      <sheetName val="A1088"/>
      <sheetName val="A1089"/>
      <sheetName val="A1090"/>
      <sheetName val="A1091"/>
      <sheetName val="A1092"/>
      <sheetName val="A1093"/>
      <sheetName val="A1094"/>
      <sheetName val="A1095"/>
      <sheetName val="A1096"/>
      <sheetName val="A1097"/>
      <sheetName val="A1098"/>
      <sheetName val="A1099"/>
      <sheetName val="A1100"/>
      <sheetName val="A1101"/>
      <sheetName val="A1102"/>
      <sheetName val="A1103"/>
      <sheetName val="A1104"/>
      <sheetName val="A1105"/>
      <sheetName val="A1106"/>
      <sheetName val="A1107"/>
      <sheetName val="A1108"/>
      <sheetName val="A1109"/>
      <sheetName val="A1110"/>
      <sheetName val="A1111"/>
      <sheetName val="A1112"/>
      <sheetName val="A1113"/>
      <sheetName val="A1114"/>
      <sheetName val="A1115"/>
      <sheetName val="A1116"/>
      <sheetName val="A1117"/>
      <sheetName val="A1118"/>
      <sheetName val="A1119"/>
      <sheetName val="A1120"/>
      <sheetName val="A1121"/>
      <sheetName val="A1122"/>
      <sheetName val="A1123"/>
      <sheetName val="A1124"/>
      <sheetName val="A1125"/>
      <sheetName val="A1126"/>
      <sheetName val="A1127"/>
      <sheetName val="A1128"/>
      <sheetName val="A1129"/>
      <sheetName val="A1130"/>
      <sheetName val="A1131"/>
      <sheetName val="A1132"/>
      <sheetName val="A1133"/>
      <sheetName val="A1134"/>
      <sheetName val="A1135"/>
      <sheetName val="A1136"/>
      <sheetName val="BBBBB"/>
      <sheetName val="CCCC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ow r="4">
          <cell r="A4" t="str">
            <v>Re-Instatement of Bulk Sample Pits where material needs to be transported from onsite location</v>
          </cell>
        </row>
      </sheetData>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ow r="8">
          <cell r="A8" t="str">
            <v>Plus required to seal drill hole beneath an aquifer prior to grouting</v>
          </cell>
        </row>
      </sheetData>
      <sheetData sheetId="137">
        <row r="8">
          <cell r="A8" t="str">
            <v>The activity is applied where material is not avalable onsite for the backfill of drillholes - particularly for diamond drillholes</v>
          </cell>
        </row>
      </sheetData>
      <sheetData sheetId="138" refreshError="1"/>
      <sheetData sheetId="13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itle Page"/>
      <sheetName val="Plant Costs"/>
      <sheetName val="Material Costs"/>
      <sheetName val="Labour Costs"/>
      <sheetName val="Task Costs"/>
      <sheetName val="List of Activities"/>
      <sheetName val="Activities by Category"/>
      <sheetName val="A1001"/>
      <sheetName val="A1002"/>
      <sheetName val="A1003"/>
      <sheetName val="A1004"/>
      <sheetName val="A1005"/>
      <sheetName val="A1006"/>
      <sheetName val="A1007"/>
      <sheetName val="A1008"/>
      <sheetName val="A1009"/>
      <sheetName val="A1010"/>
      <sheetName val="A1011"/>
      <sheetName val="A1012"/>
      <sheetName val="A1013"/>
      <sheetName val="A1014"/>
      <sheetName val="A1015"/>
      <sheetName val="A1016"/>
      <sheetName val="A1017"/>
      <sheetName val="A1018"/>
      <sheetName val="A1019"/>
      <sheetName val="A1020"/>
      <sheetName val="A1021"/>
      <sheetName val="A1022"/>
      <sheetName val="A1023"/>
      <sheetName val="A1029"/>
      <sheetName val="A1030"/>
      <sheetName val="A1031"/>
      <sheetName val="A1032"/>
      <sheetName val="A1033"/>
      <sheetName val="A1034"/>
      <sheetName val="A1035"/>
      <sheetName val="A1036"/>
      <sheetName val="A1037"/>
      <sheetName val="A1038"/>
      <sheetName val="A1039"/>
      <sheetName val="A1040"/>
      <sheetName val="A1041"/>
      <sheetName val="A1042"/>
      <sheetName val="A1043"/>
      <sheetName val="A1044"/>
      <sheetName val="A1045"/>
      <sheetName val="A1046"/>
      <sheetName val="A1047"/>
      <sheetName val="A1048"/>
      <sheetName val="A1049"/>
      <sheetName val="A1050"/>
      <sheetName val="A1051"/>
      <sheetName val="A1052"/>
      <sheetName val="A1053"/>
      <sheetName val="A1054"/>
      <sheetName val="A1055"/>
      <sheetName val="A1056"/>
      <sheetName val="A1057"/>
      <sheetName val="A1058"/>
      <sheetName val="A1059"/>
      <sheetName val="A1060"/>
      <sheetName val="A1061"/>
      <sheetName val="A1062"/>
      <sheetName val="A1063"/>
      <sheetName val="A1064"/>
      <sheetName val="A1065"/>
      <sheetName val="A1066"/>
      <sheetName val="A1067"/>
      <sheetName val="A1068"/>
      <sheetName val="A1069"/>
      <sheetName val="A1070"/>
      <sheetName val="A1071"/>
      <sheetName val="A1072"/>
      <sheetName val="A1073"/>
      <sheetName val="A1074"/>
      <sheetName val="A1075"/>
      <sheetName val="A1076"/>
      <sheetName val="A1077"/>
      <sheetName val="A1078"/>
      <sheetName val="A1079"/>
      <sheetName val="A1080"/>
      <sheetName val="A1081"/>
      <sheetName val="A1082"/>
      <sheetName val="A1083"/>
      <sheetName val="A1084"/>
      <sheetName val="A1085"/>
      <sheetName val="A1086"/>
      <sheetName val="A1087"/>
      <sheetName val="A1088"/>
      <sheetName val="A1089"/>
      <sheetName val="A1090"/>
      <sheetName val="A1091"/>
      <sheetName val="A1092"/>
      <sheetName val="A1093"/>
      <sheetName val="A1094"/>
      <sheetName val="A1095"/>
      <sheetName val="A1096"/>
      <sheetName val="A1097"/>
      <sheetName val="A1098"/>
      <sheetName val="A1099"/>
      <sheetName val="A1100"/>
      <sheetName val="A1101"/>
      <sheetName val="A1102"/>
      <sheetName val="A1103"/>
      <sheetName val="A1104"/>
      <sheetName val="A1105"/>
      <sheetName val="A1106"/>
      <sheetName val="A1107"/>
      <sheetName val="A1108"/>
      <sheetName val="A1109"/>
      <sheetName val="A1110"/>
      <sheetName val="A1111"/>
      <sheetName val="A1112"/>
      <sheetName val="A1113"/>
      <sheetName val="A1114"/>
      <sheetName val="A1115"/>
      <sheetName val="A1116"/>
      <sheetName val="A1117"/>
      <sheetName val="A1118"/>
      <sheetName val="A1119"/>
      <sheetName val="A1120"/>
      <sheetName val="A1121"/>
      <sheetName val="A1122"/>
      <sheetName val="A1123"/>
      <sheetName val="A1124"/>
      <sheetName val="A1125"/>
      <sheetName val="A1126"/>
      <sheetName val="A1127"/>
      <sheetName val="A1128"/>
      <sheetName val="A1129"/>
      <sheetName val="A1130"/>
      <sheetName val="A1131"/>
      <sheetName val="A1132"/>
      <sheetName val="A1133"/>
      <sheetName val="A1134"/>
      <sheetName val="A1135"/>
      <sheetName val="A1136"/>
      <sheetName val="A1137"/>
      <sheetName val="BBBBB"/>
      <sheetName val="CCCC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ow r="4">
          <cell r="A4" t="str">
            <v>260mm Diameter Drillholes 
Machine and Labour cost to Backfill, Cap and Seal Drill Holes  (Backfill hole with cuttings etc, cut off below ground level and seal the top of the hole before covering with soil and burying any remaining cuttings)</v>
          </cell>
        </row>
        <row r="8">
          <cell r="A8" t="str">
            <v>This activity can be applied to drill holes which do not need grouting.  The hole casing is to be  cut off 1 metre below ground level, backfilled with drill cuttings and sealed with a non-degradeable plug.  Remaining cuttings are buried by excavating a small scrape adjacent to the cuttings.  The ground is then reshaped over the hole and scraped to allow natural revegetation of the area and removal of all traces of the hole.  Any and all rubbish is to be removed to an approved dump.</v>
          </cell>
        </row>
        <row r="18">
          <cell r="J18" t="str">
            <v>$/m</v>
          </cell>
        </row>
      </sheetData>
      <sheetData sheetId="124">
        <row r="4">
          <cell r="A4" t="str">
            <v>200mm Diameter Drillholes 
Machine and Labour cost to Backfill, Cap and Seal Drill Holes  (Backfill hole with cuttings etc, cut off below ground level and seal the top of the hole before covering with soil and burying any remaining cuttings)</v>
          </cell>
        </row>
        <row r="18">
          <cell r="J18" t="str">
            <v>$/m</v>
          </cell>
        </row>
      </sheetData>
      <sheetData sheetId="125">
        <row r="4">
          <cell r="A4" t="str">
            <v>140mm Diameter Drillholes 
Machine and Labour cost to Backfill, Cap and Seal Drill Holes  (Backfill hole with cuttings etc, cut off below ground level and seal the top of the hole before covering with soil and burying any remaining cuttings)</v>
          </cell>
        </row>
        <row r="18">
          <cell r="J18" t="str">
            <v>$/m</v>
          </cell>
        </row>
      </sheetData>
      <sheetData sheetId="126">
        <row r="4">
          <cell r="A4" t="str">
            <v>125mm Diameter Drillholes 
Machine and Labour cost to Backfill, Cap and Seal Drill Holes  (Backfill hole with cuttings etc, cut off below ground level and seal the top of the hole before covering with soil and burying any remaining cuttings)</v>
          </cell>
        </row>
        <row r="18">
          <cell r="J18" t="str">
            <v>$/m</v>
          </cell>
        </row>
      </sheetData>
      <sheetData sheetId="127">
        <row r="4">
          <cell r="A4" t="str">
            <v>100mm Diameter Drillholes 
Machine and Labour cost to Backfill, Cap and Seal Drill Holes  (Backfill hole with cuttings etc, cut off below ground level and seal the top of the hole before covering with soil and burying any remaining cuttings)</v>
          </cell>
        </row>
        <row r="18">
          <cell r="J18" t="str">
            <v>$/m</v>
          </cell>
        </row>
      </sheetData>
      <sheetData sheetId="128">
        <row r="4">
          <cell r="A4" t="str">
            <v>75mm Diameter Drillholes 
Machine and Labour cost to Backfill, Cap and Seal Drill Holes  (Backfill hole with cuttings etc, cut off below ground level and seal the top of the hole before covering with soil and burying any remaining cuttings)</v>
          </cell>
        </row>
        <row r="18">
          <cell r="J18" t="str">
            <v>$/m</v>
          </cell>
        </row>
      </sheetData>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4.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25.xml"/><Relationship Id="rId2" Type="http://schemas.openxmlformats.org/officeDocument/2006/relationships/vmlDrawing" Target="../drawings/vmlDrawing25.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26.xml"/><Relationship Id="rId2" Type="http://schemas.openxmlformats.org/officeDocument/2006/relationships/vmlDrawing" Target="../drawings/vmlDrawing26.v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O89"/>
  <sheetViews>
    <sheetView showGridLines="0" tabSelected="1" topLeftCell="A5" workbookViewId="0">
      <selection activeCell="B66" sqref="B66:O66"/>
    </sheetView>
  </sheetViews>
  <sheetFormatPr defaultRowHeight="15" x14ac:dyDescent="0.25"/>
  <cols>
    <col min="15" max="15" width="34.85546875" customWidth="1"/>
  </cols>
  <sheetData>
    <row r="1" spans="1:15" ht="15.75" x14ac:dyDescent="0.25">
      <c r="A1" s="5"/>
    </row>
    <row r="2" spans="1:15" ht="28.5" x14ac:dyDescent="0.45">
      <c r="A2" s="8" t="s">
        <v>967</v>
      </c>
    </row>
    <row r="4" spans="1:15" ht="18.75" x14ac:dyDescent="0.3">
      <c r="A4" s="9"/>
      <c r="B4" s="6"/>
    </row>
    <row r="5" spans="1:15" ht="21" x14ac:dyDescent="0.3">
      <c r="A5" s="173" t="s">
        <v>945</v>
      </c>
      <c r="B5" s="6"/>
      <c r="N5" s="220" t="s">
        <v>267</v>
      </c>
      <c r="O5" s="221">
        <f>'Version Control'!B50</f>
        <v>7</v>
      </c>
    </row>
    <row r="6" spans="1:15" ht="25.5" customHeight="1" x14ac:dyDescent="0.3">
      <c r="A6" s="179" t="s">
        <v>1326</v>
      </c>
      <c r="B6" s="180"/>
      <c r="C6" s="11"/>
      <c r="D6" s="11"/>
      <c r="E6" s="11"/>
      <c r="F6" s="11"/>
      <c r="G6" s="11"/>
      <c r="H6" s="11"/>
      <c r="I6" s="11"/>
      <c r="J6" s="11"/>
      <c r="K6" s="11"/>
      <c r="L6" s="11"/>
      <c r="M6" s="11"/>
      <c r="N6" s="11"/>
      <c r="O6" s="12"/>
    </row>
    <row r="7" spans="1:15" ht="18.75" x14ac:dyDescent="0.3">
      <c r="A7" s="181" t="s">
        <v>354</v>
      </c>
      <c r="B7" s="182"/>
      <c r="C7" s="15"/>
      <c r="D7" s="15"/>
      <c r="E7" s="15"/>
      <c r="F7" s="15"/>
      <c r="G7" s="15"/>
      <c r="H7" s="15"/>
      <c r="I7" s="15"/>
      <c r="J7" s="15"/>
      <c r="K7" s="15"/>
      <c r="L7" s="15"/>
      <c r="M7" s="15"/>
      <c r="N7" s="15"/>
      <c r="O7" s="16"/>
    </row>
    <row r="8" spans="1:15" ht="15.75" customHeight="1" x14ac:dyDescent="0.25">
      <c r="A8" s="183" t="s">
        <v>355</v>
      </c>
      <c r="B8" s="1012" t="s">
        <v>356</v>
      </c>
      <c r="C8" s="1012"/>
      <c r="D8" s="1012"/>
      <c r="E8" s="1012"/>
      <c r="F8" s="1012"/>
      <c r="G8" s="1012"/>
      <c r="H8" s="1012"/>
      <c r="I8" s="1012"/>
      <c r="J8" s="1012"/>
      <c r="K8" s="1012"/>
      <c r="L8" s="1012"/>
      <c r="M8" s="1012"/>
      <c r="N8" s="1012"/>
      <c r="O8" s="1013"/>
    </row>
    <row r="9" spans="1:15" ht="15" customHeight="1" x14ac:dyDescent="0.25">
      <c r="A9" s="13"/>
      <c r="B9" s="1012"/>
      <c r="C9" s="1012"/>
      <c r="D9" s="1012"/>
      <c r="E9" s="1012"/>
      <c r="F9" s="1012"/>
      <c r="G9" s="1012"/>
      <c r="H9" s="1012"/>
      <c r="I9" s="1012"/>
      <c r="J9" s="1012"/>
      <c r="K9" s="1012"/>
      <c r="L9" s="1012"/>
      <c r="M9" s="1012"/>
      <c r="N9" s="1012"/>
      <c r="O9" s="1013"/>
    </row>
    <row r="10" spans="1:15" ht="15" customHeight="1" x14ac:dyDescent="0.25">
      <c r="A10" s="13"/>
      <c r="B10" s="174" t="s">
        <v>357</v>
      </c>
      <c r="C10" s="1014" t="s">
        <v>379</v>
      </c>
      <c r="D10" s="1014"/>
      <c r="E10" s="1014"/>
      <c r="F10" s="1014"/>
      <c r="G10" s="1014"/>
      <c r="H10" s="1014"/>
      <c r="I10" s="1014"/>
      <c r="J10" s="1014"/>
      <c r="K10" s="1014"/>
      <c r="L10" s="1014"/>
      <c r="M10" s="1014"/>
      <c r="N10" s="1014"/>
      <c r="O10" s="1015"/>
    </row>
    <row r="11" spans="1:15" ht="15" customHeight="1" x14ac:dyDescent="0.25">
      <c r="A11" s="13"/>
      <c r="B11" s="174" t="s">
        <v>358</v>
      </c>
      <c r="C11" s="1012" t="s">
        <v>359</v>
      </c>
      <c r="D11" s="1012"/>
      <c r="E11" s="1012"/>
      <c r="F11" s="1012"/>
      <c r="G11" s="1012"/>
      <c r="H11" s="1012"/>
      <c r="I11" s="1012"/>
      <c r="J11" s="1012"/>
      <c r="K11" s="1012"/>
      <c r="L11" s="1012"/>
      <c r="M11" s="1012"/>
      <c r="N11" s="1012"/>
      <c r="O11" s="1013"/>
    </row>
    <row r="12" spans="1:15" x14ac:dyDescent="0.25">
      <c r="A12" s="13"/>
      <c r="B12" s="15"/>
      <c r="C12" s="1012"/>
      <c r="D12" s="1012"/>
      <c r="E12" s="1012"/>
      <c r="F12" s="1012"/>
      <c r="G12" s="1012"/>
      <c r="H12" s="1012"/>
      <c r="I12" s="1012"/>
      <c r="J12" s="1012"/>
      <c r="K12" s="1012"/>
      <c r="L12" s="1012"/>
      <c r="M12" s="1012"/>
      <c r="N12" s="1012"/>
      <c r="O12" s="1013"/>
    </row>
    <row r="13" spans="1:15" ht="15.75" x14ac:dyDescent="0.25">
      <c r="A13" s="13"/>
      <c r="B13" s="1018" t="s">
        <v>360</v>
      </c>
      <c r="C13" s="1018"/>
      <c r="D13" s="1018"/>
      <c r="E13" s="1018"/>
      <c r="F13" s="15"/>
      <c r="G13" s="15"/>
      <c r="H13" s="15"/>
      <c r="I13" s="15"/>
      <c r="J13" s="15"/>
      <c r="K13" s="15"/>
      <c r="L13" s="15"/>
      <c r="M13" s="15"/>
      <c r="N13" s="15"/>
      <c r="O13" s="16"/>
    </row>
    <row r="14" spans="1:15" x14ac:dyDescent="0.25">
      <c r="A14" s="1019" t="s">
        <v>946</v>
      </c>
      <c r="B14" s="1020"/>
      <c r="C14" s="1020"/>
      <c r="D14" s="1020"/>
      <c r="E14" s="1020"/>
      <c r="F14" s="1020"/>
      <c r="G14" s="1020"/>
      <c r="H14" s="1020"/>
      <c r="I14" s="1020"/>
      <c r="J14" s="1020"/>
      <c r="K14" s="1020"/>
      <c r="L14" s="1020"/>
      <c r="M14" s="1020"/>
      <c r="N14" s="1020"/>
      <c r="O14" s="1021"/>
    </row>
    <row r="16" spans="1:15" ht="21" x14ac:dyDescent="0.25">
      <c r="A16" s="173" t="s">
        <v>964</v>
      </c>
    </row>
    <row r="17" spans="1:15" x14ac:dyDescent="0.25">
      <c r="A17" s="80" t="s">
        <v>963</v>
      </c>
      <c r="B17" s="11"/>
      <c r="C17" s="11"/>
      <c r="D17" s="11"/>
      <c r="E17" s="11"/>
      <c r="F17" s="11"/>
      <c r="G17" s="11"/>
      <c r="H17" s="11"/>
      <c r="I17" s="11"/>
      <c r="J17" s="11"/>
      <c r="K17" s="11"/>
      <c r="L17" s="11"/>
      <c r="M17" s="11"/>
      <c r="N17" s="11"/>
      <c r="O17" s="12"/>
    </row>
    <row r="18" spans="1:15" x14ac:dyDescent="0.25">
      <c r="A18" s="175" t="s">
        <v>315</v>
      </c>
      <c r="B18" s="15"/>
      <c r="C18" s="15" t="s">
        <v>1327</v>
      </c>
      <c r="D18" s="15"/>
      <c r="E18" s="15"/>
      <c r="F18" s="15"/>
      <c r="G18" s="15"/>
      <c r="H18" s="15"/>
      <c r="I18" s="15"/>
      <c r="J18" s="15"/>
      <c r="K18" s="15"/>
      <c r="L18" s="15"/>
      <c r="M18" s="15"/>
      <c r="N18" s="15"/>
      <c r="O18" s="16"/>
    </row>
    <row r="19" spans="1:15" x14ac:dyDescent="0.25">
      <c r="A19" s="175" t="s">
        <v>254</v>
      </c>
      <c r="B19" s="15"/>
      <c r="C19" s="15" t="s">
        <v>364</v>
      </c>
      <c r="D19" s="15"/>
      <c r="E19" s="15"/>
      <c r="F19" s="15"/>
      <c r="G19" s="15"/>
      <c r="H19" s="15"/>
      <c r="I19" s="15"/>
      <c r="J19" s="15"/>
      <c r="K19" s="15"/>
      <c r="L19" s="15"/>
      <c r="M19" s="15"/>
      <c r="N19" s="15"/>
      <c r="O19" s="16"/>
    </row>
    <row r="20" spans="1:15" x14ac:dyDescent="0.25">
      <c r="A20" s="175" t="s">
        <v>361</v>
      </c>
      <c r="B20" s="15"/>
      <c r="C20" s="15" t="s">
        <v>362</v>
      </c>
      <c r="D20" s="15"/>
      <c r="E20" s="15"/>
      <c r="F20" s="15"/>
      <c r="G20" s="15"/>
      <c r="H20" s="15"/>
      <c r="I20" s="15"/>
      <c r="J20" s="15"/>
      <c r="K20" s="15"/>
      <c r="L20" s="15"/>
      <c r="M20" s="15"/>
      <c r="N20" s="15"/>
      <c r="O20" s="16"/>
    </row>
    <row r="21" spans="1:15" x14ac:dyDescent="0.25">
      <c r="A21" s="1016" t="s">
        <v>363</v>
      </c>
      <c r="B21" s="1017"/>
      <c r="C21" s="1010" t="s">
        <v>947</v>
      </c>
      <c r="D21" s="1010"/>
      <c r="E21" s="1010"/>
      <c r="F21" s="1010"/>
      <c r="G21" s="1010"/>
      <c r="H21" s="1010"/>
      <c r="I21" s="1010"/>
      <c r="J21" s="1010"/>
      <c r="K21" s="1010"/>
      <c r="L21" s="1010"/>
      <c r="M21" s="1010"/>
      <c r="N21" s="1010"/>
      <c r="O21" s="1011"/>
    </row>
    <row r="22" spans="1:15" x14ac:dyDescent="0.25">
      <c r="A22" s="1016"/>
      <c r="B22" s="1017"/>
      <c r="C22" s="1010"/>
      <c r="D22" s="1010"/>
      <c r="E22" s="1010"/>
      <c r="F22" s="1010"/>
      <c r="G22" s="1010"/>
      <c r="H22" s="1010"/>
      <c r="I22" s="1010"/>
      <c r="J22" s="1010"/>
      <c r="K22" s="1010"/>
      <c r="L22" s="1010"/>
      <c r="M22" s="1010"/>
      <c r="N22" s="1010"/>
      <c r="O22" s="1011"/>
    </row>
    <row r="23" spans="1:15" x14ac:dyDescent="0.25">
      <c r="A23" s="175" t="s">
        <v>365</v>
      </c>
      <c r="B23" s="15"/>
      <c r="C23" s="15" t="s">
        <v>366</v>
      </c>
      <c r="D23" s="15"/>
      <c r="E23" s="15"/>
      <c r="F23" s="15"/>
      <c r="G23" s="15"/>
      <c r="H23" s="15"/>
      <c r="I23" s="15"/>
      <c r="J23" s="15"/>
      <c r="K23" s="15"/>
      <c r="L23" s="15"/>
      <c r="M23" s="15"/>
      <c r="N23" s="15"/>
      <c r="O23" s="16"/>
    </row>
    <row r="24" spans="1:15" x14ac:dyDescent="0.25">
      <c r="A24" s="1016" t="s">
        <v>367</v>
      </c>
      <c r="B24" s="1017"/>
      <c r="C24" s="1010" t="s">
        <v>368</v>
      </c>
      <c r="D24" s="1010"/>
      <c r="E24" s="1010"/>
      <c r="F24" s="1010"/>
      <c r="G24" s="1010"/>
      <c r="H24" s="1010"/>
      <c r="I24" s="1010"/>
      <c r="J24" s="1010"/>
      <c r="K24" s="1010"/>
      <c r="L24" s="1010"/>
      <c r="M24" s="1010"/>
      <c r="N24" s="1010"/>
      <c r="O24" s="1011"/>
    </row>
    <row r="25" spans="1:15" x14ac:dyDescent="0.25">
      <c r="A25" s="1016"/>
      <c r="B25" s="1017"/>
      <c r="C25" s="1010"/>
      <c r="D25" s="1010"/>
      <c r="E25" s="1010"/>
      <c r="F25" s="1010"/>
      <c r="G25" s="1010"/>
      <c r="H25" s="1010"/>
      <c r="I25" s="1010"/>
      <c r="J25" s="1010"/>
      <c r="K25" s="1010"/>
      <c r="L25" s="1010"/>
      <c r="M25" s="1010"/>
      <c r="N25" s="1010"/>
      <c r="O25" s="1011"/>
    </row>
    <row r="26" spans="1:15" x14ac:dyDescent="0.25">
      <c r="A26" s="1016" t="s">
        <v>369</v>
      </c>
      <c r="B26" s="1017"/>
      <c r="C26" s="1008" t="s">
        <v>1328</v>
      </c>
      <c r="D26" s="1008"/>
      <c r="E26" s="1008"/>
      <c r="F26" s="1008"/>
      <c r="G26" s="1008"/>
      <c r="H26" s="1008"/>
      <c r="I26" s="1008"/>
      <c r="J26" s="1008"/>
      <c r="K26" s="1008"/>
      <c r="L26" s="1008"/>
      <c r="M26" s="1008"/>
      <c r="N26" s="1008"/>
      <c r="O26" s="1009"/>
    </row>
    <row r="27" spans="1:15" x14ac:dyDescent="0.25">
      <c r="A27" s="1016"/>
      <c r="B27" s="1017"/>
      <c r="C27" s="1008"/>
      <c r="D27" s="1008"/>
      <c r="E27" s="1008"/>
      <c r="F27" s="1008"/>
      <c r="G27" s="1008"/>
      <c r="H27" s="1008"/>
      <c r="I27" s="1008"/>
      <c r="J27" s="1008"/>
      <c r="K27" s="1008"/>
      <c r="L27" s="1008"/>
      <c r="M27" s="1008"/>
      <c r="N27" s="1008"/>
      <c r="O27" s="1009"/>
    </row>
    <row r="28" spans="1:15" x14ac:dyDescent="0.25">
      <c r="A28" s="46"/>
      <c r="B28" s="17"/>
      <c r="C28" s="17"/>
      <c r="D28" s="17"/>
      <c r="E28" s="17"/>
      <c r="F28" s="17"/>
      <c r="G28" s="17"/>
      <c r="H28" s="17"/>
      <c r="I28" s="17"/>
      <c r="J28" s="17"/>
      <c r="K28" s="17"/>
      <c r="L28" s="17"/>
      <c r="M28" s="17"/>
      <c r="N28" s="17"/>
      <c r="O28" s="18"/>
    </row>
    <row r="30" spans="1:15" ht="21" x14ac:dyDescent="0.25">
      <c r="A30" s="173" t="s">
        <v>370</v>
      </c>
    </row>
    <row r="31" spans="1:15" ht="15.75" x14ac:dyDescent="0.25">
      <c r="A31" s="176">
        <v>1</v>
      </c>
      <c r="B31" s="11" t="s">
        <v>371</v>
      </c>
      <c r="C31" s="11"/>
      <c r="D31" s="11"/>
      <c r="E31" s="11"/>
      <c r="F31" s="11"/>
      <c r="G31" s="11"/>
      <c r="H31" s="11"/>
      <c r="I31" s="11"/>
      <c r="J31" s="11"/>
      <c r="K31" s="11"/>
      <c r="L31" s="11"/>
      <c r="M31" s="11"/>
      <c r="N31" s="11"/>
      <c r="O31" s="12"/>
    </row>
    <row r="32" spans="1:15" ht="15.75" x14ac:dyDescent="0.25">
      <c r="A32" s="177">
        <v>2</v>
      </c>
      <c r="B32" s="15" t="s">
        <v>372</v>
      </c>
      <c r="C32" s="15"/>
      <c r="D32" s="15"/>
      <c r="E32" s="15"/>
      <c r="F32" s="15"/>
      <c r="G32" s="15"/>
      <c r="H32" s="15"/>
      <c r="I32" s="15"/>
      <c r="J32" s="15"/>
      <c r="K32" s="15"/>
      <c r="L32" s="15"/>
      <c r="M32" s="15"/>
      <c r="N32" s="15"/>
      <c r="O32" s="16"/>
    </row>
    <row r="33" spans="1:15" x14ac:dyDescent="0.25">
      <c r="A33" s="13"/>
      <c r="B33" s="15"/>
      <c r="C33" s="15" t="s">
        <v>948</v>
      </c>
      <c r="D33" s="15"/>
      <c r="E33" s="15"/>
      <c r="F33" s="15"/>
      <c r="G33" s="15"/>
      <c r="H33" s="15"/>
      <c r="I33" s="15"/>
      <c r="J33" s="15"/>
      <c r="K33" s="15"/>
      <c r="L33" s="15"/>
      <c r="M33" s="15"/>
      <c r="N33" s="15"/>
      <c r="O33" s="16"/>
    </row>
    <row r="34" spans="1:15" x14ac:dyDescent="0.25">
      <c r="A34" s="13"/>
      <c r="B34" s="15"/>
      <c r="C34" s="15" t="s">
        <v>380</v>
      </c>
      <c r="D34" s="15"/>
      <c r="E34" s="15"/>
      <c r="F34" s="15"/>
      <c r="G34" s="15"/>
      <c r="H34" s="15"/>
      <c r="I34" s="15"/>
      <c r="J34" s="15"/>
      <c r="K34" s="15"/>
      <c r="L34" s="15"/>
      <c r="M34" s="15"/>
      <c r="N34" s="15"/>
      <c r="O34" s="16"/>
    </row>
    <row r="35" spans="1:15" x14ac:dyDescent="0.25">
      <c r="A35" s="13"/>
      <c r="B35" s="15"/>
      <c r="C35" s="15" t="s">
        <v>381</v>
      </c>
      <c r="D35" s="15"/>
      <c r="E35" s="15"/>
      <c r="F35" s="15"/>
      <c r="G35" s="15"/>
      <c r="H35" s="15"/>
      <c r="I35" s="15"/>
      <c r="J35" s="15"/>
      <c r="K35" s="15"/>
      <c r="L35" s="15"/>
      <c r="M35" s="15"/>
      <c r="N35" s="15"/>
      <c r="O35" s="16"/>
    </row>
    <row r="36" spans="1:15" x14ac:dyDescent="0.25">
      <c r="A36" s="13"/>
      <c r="B36" s="15"/>
      <c r="C36" s="15" t="s">
        <v>373</v>
      </c>
      <c r="D36" s="15"/>
      <c r="E36" s="15"/>
      <c r="F36" s="15"/>
      <c r="G36" s="15"/>
      <c r="H36" s="15"/>
      <c r="I36" s="15"/>
      <c r="J36" s="15"/>
      <c r="K36" s="15"/>
      <c r="L36" s="15"/>
      <c r="M36" s="15"/>
      <c r="N36" s="15"/>
      <c r="O36" s="16"/>
    </row>
    <row r="37" spans="1:15" x14ac:dyDescent="0.25">
      <c r="A37" s="13"/>
      <c r="B37" s="15"/>
      <c r="C37" s="39" t="s">
        <v>949</v>
      </c>
      <c r="D37" s="15"/>
      <c r="E37" s="15"/>
      <c r="F37" s="15"/>
      <c r="G37" s="15"/>
      <c r="H37" s="15"/>
      <c r="I37" s="15"/>
      <c r="J37" s="15"/>
      <c r="K37" s="15"/>
      <c r="L37" s="15"/>
      <c r="M37" s="15"/>
      <c r="N37" s="15"/>
      <c r="O37" s="16"/>
    </row>
    <row r="38" spans="1:15" x14ac:dyDescent="0.25">
      <c r="A38" s="13"/>
      <c r="B38" s="15"/>
      <c r="C38" s="15" t="s">
        <v>374</v>
      </c>
      <c r="D38" s="15"/>
      <c r="E38" s="15"/>
      <c r="F38" s="15"/>
      <c r="G38" s="15"/>
      <c r="H38" s="15"/>
      <c r="I38" s="15"/>
      <c r="J38" s="15"/>
      <c r="K38" s="15"/>
      <c r="L38" s="15"/>
      <c r="M38" s="15"/>
      <c r="N38" s="15"/>
      <c r="O38" s="16"/>
    </row>
    <row r="39" spans="1:15" ht="15.75" x14ac:dyDescent="0.25">
      <c r="A39" s="177">
        <v>3</v>
      </c>
      <c r="B39" s="15" t="s">
        <v>375</v>
      </c>
      <c r="C39" s="15"/>
      <c r="D39" s="15"/>
      <c r="E39" s="15"/>
      <c r="F39" s="15"/>
      <c r="G39" s="15"/>
      <c r="H39" s="15"/>
      <c r="I39" s="15"/>
      <c r="J39" s="15"/>
      <c r="K39" s="15"/>
      <c r="L39" s="15"/>
      <c r="M39" s="15"/>
      <c r="N39" s="15"/>
      <c r="O39" s="16"/>
    </row>
    <row r="40" spans="1:15" ht="45.75" customHeight="1" x14ac:dyDescent="0.25">
      <c r="A40" s="13"/>
      <c r="B40" s="178">
        <v>1</v>
      </c>
      <c r="C40" s="1010" t="s">
        <v>950</v>
      </c>
      <c r="D40" s="1010"/>
      <c r="E40" s="1010"/>
      <c r="F40" s="1010"/>
      <c r="G40" s="1010"/>
      <c r="H40" s="1010"/>
      <c r="I40" s="1010"/>
      <c r="J40" s="1010"/>
      <c r="K40" s="1010"/>
      <c r="L40" s="1010"/>
      <c r="M40" s="1010"/>
      <c r="N40" s="1010"/>
      <c r="O40" s="1011"/>
    </row>
    <row r="41" spans="1:15" x14ac:dyDescent="0.25">
      <c r="A41" s="13"/>
      <c r="B41" s="178">
        <v>2</v>
      </c>
      <c r="C41" s="1010" t="s">
        <v>376</v>
      </c>
      <c r="D41" s="1010"/>
      <c r="E41" s="1010"/>
      <c r="F41" s="1010"/>
      <c r="G41" s="1010"/>
      <c r="H41" s="1010"/>
      <c r="I41" s="1010"/>
      <c r="J41" s="1010"/>
      <c r="K41" s="1010"/>
      <c r="L41" s="1010"/>
      <c r="M41" s="1010"/>
      <c r="N41" s="1010"/>
      <c r="O41" s="1011"/>
    </row>
    <row r="42" spans="1:15" x14ac:dyDescent="0.25">
      <c r="A42" s="13"/>
      <c r="B42" s="15"/>
      <c r="C42" s="1010"/>
      <c r="D42" s="1010"/>
      <c r="E42" s="1010"/>
      <c r="F42" s="1010"/>
      <c r="G42" s="1010"/>
      <c r="H42" s="1010"/>
      <c r="I42" s="1010"/>
      <c r="J42" s="1010"/>
      <c r="K42" s="1010"/>
      <c r="L42" s="1010"/>
      <c r="M42" s="1010"/>
      <c r="N42" s="1010"/>
      <c r="O42" s="1011"/>
    </row>
    <row r="43" spans="1:15" ht="29.25" customHeight="1" x14ac:dyDescent="0.25">
      <c r="A43" s="13"/>
      <c r="B43" s="178">
        <v>3</v>
      </c>
      <c r="C43" s="1010" t="s">
        <v>951</v>
      </c>
      <c r="D43" s="1010"/>
      <c r="E43" s="1010"/>
      <c r="F43" s="1010"/>
      <c r="G43" s="1010"/>
      <c r="H43" s="1010"/>
      <c r="I43" s="1010"/>
      <c r="J43" s="1010"/>
      <c r="K43" s="1010"/>
      <c r="L43" s="1010"/>
      <c r="M43" s="1010"/>
      <c r="N43" s="1010"/>
      <c r="O43" s="1011"/>
    </row>
    <row r="44" spans="1:15" x14ac:dyDescent="0.25">
      <c r="A44" s="46"/>
      <c r="B44" s="17"/>
      <c r="C44" s="17"/>
      <c r="D44" s="17"/>
      <c r="E44" s="17"/>
      <c r="F44" s="17"/>
      <c r="G44" s="17"/>
      <c r="H44" s="17"/>
      <c r="I44" s="17"/>
      <c r="J44" s="17"/>
      <c r="K44" s="17"/>
      <c r="L44" s="17"/>
      <c r="M44" s="17"/>
      <c r="N44" s="17"/>
      <c r="O44" s="18"/>
    </row>
    <row r="46" spans="1:15" ht="21" x14ac:dyDescent="0.25">
      <c r="A46" s="184" t="s">
        <v>377</v>
      </c>
    </row>
    <row r="47" spans="1:15" ht="15.75" x14ac:dyDescent="0.25">
      <c r="A47" s="176">
        <v>1</v>
      </c>
      <c r="B47" s="11" t="s">
        <v>378</v>
      </c>
      <c r="C47" s="11"/>
      <c r="D47" s="11"/>
      <c r="E47" s="11"/>
      <c r="F47" s="11"/>
      <c r="G47" s="11"/>
      <c r="H47" s="11"/>
      <c r="I47" s="11"/>
      <c r="J47" s="11"/>
      <c r="K47" s="11"/>
      <c r="L47" s="11"/>
      <c r="M47" s="11"/>
      <c r="N47" s="11"/>
      <c r="O47" s="12"/>
    </row>
    <row r="48" spans="1:15" ht="32.25" customHeight="1" x14ac:dyDescent="0.25">
      <c r="A48" s="177">
        <v>2</v>
      </c>
      <c r="B48" s="1008" t="s">
        <v>382</v>
      </c>
      <c r="C48" s="1008"/>
      <c r="D48" s="1008"/>
      <c r="E48" s="1008"/>
      <c r="F48" s="1008"/>
      <c r="G48" s="1008"/>
      <c r="H48" s="1008"/>
      <c r="I48" s="1008"/>
      <c r="J48" s="1008"/>
      <c r="K48" s="1008"/>
      <c r="L48" s="1008"/>
      <c r="M48" s="1008"/>
      <c r="N48" s="1008"/>
      <c r="O48" s="1009"/>
    </row>
    <row r="49" spans="1:15" x14ac:dyDescent="0.25">
      <c r="A49" s="46"/>
      <c r="B49" s="17"/>
      <c r="C49" s="17"/>
      <c r="D49" s="17"/>
      <c r="E49" s="17"/>
      <c r="F49" s="17"/>
      <c r="G49" s="17"/>
      <c r="H49" s="17"/>
      <c r="I49" s="17"/>
      <c r="J49" s="17"/>
      <c r="K49" s="17"/>
      <c r="L49" s="17"/>
      <c r="M49" s="17"/>
      <c r="N49" s="17"/>
      <c r="O49" s="18"/>
    </row>
    <row r="51" spans="1:15" ht="26.25" x14ac:dyDescent="0.4">
      <c r="A51" s="7" t="s">
        <v>952</v>
      </c>
      <c r="B51" s="7"/>
    </row>
    <row r="52" spans="1:15" ht="23.25" x14ac:dyDescent="0.35">
      <c r="A52" s="57" t="s">
        <v>313</v>
      </c>
    </row>
    <row r="54" spans="1:15" ht="15.75" x14ac:dyDescent="0.25">
      <c r="A54" s="222" t="s">
        <v>314</v>
      </c>
      <c r="B54" s="999" t="s">
        <v>315</v>
      </c>
      <c r="C54" s="1000"/>
      <c r="D54" s="1000"/>
      <c r="E54" s="1000"/>
      <c r="F54" s="1000"/>
      <c r="G54" s="1000"/>
      <c r="H54" s="1000"/>
      <c r="I54" s="1000"/>
      <c r="J54" s="1000"/>
      <c r="K54" s="1000"/>
      <c r="L54" s="1000"/>
      <c r="M54" s="1000"/>
      <c r="N54" s="1000"/>
      <c r="O54" s="1001"/>
    </row>
    <row r="55" spans="1:15" ht="15.75" x14ac:dyDescent="0.25">
      <c r="A55" s="223">
        <v>1</v>
      </c>
      <c r="B55" s="1006" t="s">
        <v>953</v>
      </c>
      <c r="C55" s="1006"/>
      <c r="D55" s="1006"/>
      <c r="E55" s="1006"/>
      <c r="F55" s="1006"/>
      <c r="G55" s="1006"/>
      <c r="H55" s="1006"/>
      <c r="I55" s="1006"/>
      <c r="J55" s="1006"/>
      <c r="K55" s="1006"/>
      <c r="L55" s="1006"/>
      <c r="M55" s="1006"/>
      <c r="N55" s="1006"/>
      <c r="O55" s="1007"/>
    </row>
    <row r="56" spans="1:15" ht="30.75" customHeight="1" x14ac:dyDescent="0.25">
      <c r="A56" s="223">
        <v>2</v>
      </c>
      <c r="B56" s="1006" t="s">
        <v>316</v>
      </c>
      <c r="C56" s="1006"/>
      <c r="D56" s="1006"/>
      <c r="E56" s="1006"/>
      <c r="F56" s="1006"/>
      <c r="G56" s="1006"/>
      <c r="H56" s="1006"/>
      <c r="I56" s="1006"/>
      <c r="J56" s="1006"/>
      <c r="K56" s="1006"/>
      <c r="L56" s="1006"/>
      <c r="M56" s="1006"/>
      <c r="N56" s="1006"/>
      <c r="O56" s="1007"/>
    </row>
    <row r="57" spans="1:15" s="126" customFormat="1" ht="50.25" customHeight="1" x14ac:dyDescent="0.25">
      <c r="A57" s="224">
        <v>3</v>
      </c>
      <c r="B57" s="1006" t="s">
        <v>954</v>
      </c>
      <c r="C57" s="1006"/>
      <c r="D57" s="1006"/>
      <c r="E57" s="1006"/>
      <c r="F57" s="1006"/>
      <c r="G57" s="1006"/>
      <c r="H57" s="1006"/>
      <c r="I57" s="1006"/>
      <c r="J57" s="1006"/>
      <c r="K57" s="1006"/>
      <c r="L57" s="1006"/>
      <c r="M57" s="1006"/>
      <c r="N57" s="1006"/>
      <c r="O57" s="1007"/>
    </row>
    <row r="58" spans="1:15" ht="71.25" customHeight="1" x14ac:dyDescent="0.25">
      <c r="A58" s="223">
        <v>4</v>
      </c>
      <c r="B58" s="1006" t="s">
        <v>917</v>
      </c>
      <c r="C58" s="1006"/>
      <c r="D58" s="1006"/>
      <c r="E58" s="1006"/>
      <c r="F58" s="1006"/>
      <c r="G58" s="1006"/>
      <c r="H58" s="1006"/>
      <c r="I58" s="1006"/>
      <c r="J58" s="1006"/>
      <c r="K58" s="1006"/>
      <c r="L58" s="1006"/>
      <c r="M58" s="1006"/>
      <c r="N58" s="1006"/>
      <c r="O58" s="1007"/>
    </row>
    <row r="59" spans="1:15" ht="50.25" customHeight="1" x14ac:dyDescent="0.25">
      <c r="A59" s="223">
        <v>5</v>
      </c>
      <c r="B59" s="1006" t="s">
        <v>1329</v>
      </c>
      <c r="C59" s="1006"/>
      <c r="D59" s="1006"/>
      <c r="E59" s="1006"/>
      <c r="F59" s="1006"/>
      <c r="G59" s="1006"/>
      <c r="H59" s="1006"/>
      <c r="I59" s="1006"/>
      <c r="J59" s="1006"/>
      <c r="K59" s="1006"/>
      <c r="L59" s="1006"/>
      <c r="M59" s="1006"/>
      <c r="N59" s="1006"/>
      <c r="O59" s="1007"/>
    </row>
    <row r="60" spans="1:15" ht="15.75" x14ac:dyDescent="0.25">
      <c r="A60" s="223">
        <v>6</v>
      </c>
      <c r="B60" s="1006" t="s">
        <v>317</v>
      </c>
      <c r="C60" s="1006"/>
      <c r="D60" s="1006"/>
      <c r="E60" s="1006"/>
      <c r="F60" s="1006"/>
      <c r="G60" s="1006"/>
      <c r="H60" s="1006"/>
      <c r="I60" s="1006"/>
      <c r="J60" s="1006"/>
      <c r="K60" s="1006"/>
      <c r="L60" s="1006"/>
      <c r="M60" s="1006"/>
      <c r="N60" s="1006"/>
      <c r="O60" s="1007"/>
    </row>
    <row r="61" spans="1:15" ht="34.5" customHeight="1" x14ac:dyDescent="0.25">
      <c r="A61" s="223">
        <v>7</v>
      </c>
      <c r="B61" s="1002" t="s">
        <v>331</v>
      </c>
      <c r="C61" s="995"/>
      <c r="D61" s="995"/>
      <c r="E61" s="995"/>
      <c r="F61" s="995"/>
      <c r="G61" s="995"/>
      <c r="H61" s="995"/>
      <c r="I61" s="995"/>
      <c r="J61" s="995"/>
      <c r="K61" s="995"/>
      <c r="L61" s="995"/>
      <c r="M61" s="995"/>
      <c r="N61" s="995"/>
      <c r="O61" s="996"/>
    </row>
    <row r="62" spans="1:15" ht="39" customHeight="1" x14ac:dyDescent="0.25">
      <c r="A62" s="223">
        <v>8</v>
      </c>
      <c r="B62" s="1002" t="s">
        <v>918</v>
      </c>
      <c r="C62" s="995"/>
      <c r="D62" s="995"/>
      <c r="E62" s="995"/>
      <c r="F62" s="995"/>
      <c r="G62" s="995"/>
      <c r="H62" s="995"/>
      <c r="I62" s="995"/>
      <c r="J62" s="995"/>
      <c r="K62" s="995"/>
      <c r="L62" s="995"/>
      <c r="M62" s="995"/>
      <c r="N62" s="995"/>
      <c r="O62" s="996"/>
    </row>
    <row r="63" spans="1:15" ht="51.75" customHeight="1" x14ac:dyDescent="0.25">
      <c r="A63" s="223">
        <v>9</v>
      </c>
      <c r="B63" s="1003" t="s">
        <v>1330</v>
      </c>
      <c r="C63" s="1004"/>
      <c r="D63" s="1004"/>
      <c r="E63" s="1004"/>
      <c r="F63" s="1004"/>
      <c r="G63" s="1004"/>
      <c r="H63" s="1004"/>
      <c r="I63" s="1004"/>
      <c r="J63" s="1004"/>
      <c r="K63" s="1004"/>
      <c r="L63" s="1004"/>
      <c r="M63" s="1004"/>
      <c r="N63" s="1004"/>
      <c r="O63" s="1005"/>
    </row>
    <row r="64" spans="1:15" ht="39" customHeight="1" x14ac:dyDescent="0.25">
      <c r="A64" s="223">
        <v>10</v>
      </c>
      <c r="B64" s="1002" t="s">
        <v>919</v>
      </c>
      <c r="C64" s="995"/>
      <c r="D64" s="995"/>
      <c r="E64" s="995"/>
      <c r="F64" s="995"/>
      <c r="G64" s="995"/>
      <c r="H64" s="995"/>
      <c r="I64" s="995"/>
      <c r="J64" s="995"/>
      <c r="K64" s="995"/>
      <c r="L64" s="995"/>
      <c r="M64" s="995"/>
      <c r="N64" s="995"/>
      <c r="O64" s="996"/>
    </row>
    <row r="65" spans="1:15" ht="66" customHeight="1" x14ac:dyDescent="0.25">
      <c r="A65" s="223">
        <v>11</v>
      </c>
      <c r="B65" s="1006" t="s">
        <v>920</v>
      </c>
      <c r="C65" s="1006"/>
      <c r="D65" s="1006"/>
      <c r="E65" s="1006"/>
      <c r="F65" s="1006"/>
      <c r="G65" s="1006"/>
      <c r="H65" s="1006"/>
      <c r="I65" s="1006"/>
      <c r="J65" s="1006"/>
      <c r="K65" s="1006"/>
      <c r="L65" s="1006"/>
      <c r="M65" s="1006"/>
      <c r="N65" s="1006"/>
      <c r="O65" s="1007"/>
    </row>
    <row r="66" spans="1:15" ht="42.75" customHeight="1" x14ac:dyDescent="0.25">
      <c r="A66" s="223">
        <v>12</v>
      </c>
      <c r="B66" s="1006" t="s">
        <v>1331</v>
      </c>
      <c r="C66" s="1006"/>
      <c r="D66" s="1006"/>
      <c r="E66" s="1006"/>
      <c r="F66" s="1006"/>
      <c r="G66" s="1006"/>
      <c r="H66" s="1006"/>
      <c r="I66" s="1006"/>
      <c r="J66" s="1006"/>
      <c r="K66" s="1006"/>
      <c r="L66" s="1006"/>
      <c r="M66" s="1006"/>
      <c r="N66" s="1006"/>
      <c r="O66" s="1007"/>
    </row>
    <row r="67" spans="1:15" ht="40.5" customHeight="1" x14ac:dyDescent="0.25">
      <c r="A67" s="223">
        <v>12.1</v>
      </c>
      <c r="B67" s="227"/>
      <c r="C67" s="995" t="s">
        <v>955</v>
      </c>
      <c r="D67" s="995"/>
      <c r="E67" s="995"/>
      <c r="F67" s="995"/>
      <c r="G67" s="995"/>
      <c r="H67" s="995"/>
      <c r="I67" s="995"/>
      <c r="J67" s="995"/>
      <c r="K67" s="995"/>
      <c r="L67" s="995"/>
      <c r="M67" s="995"/>
      <c r="N67" s="995"/>
      <c r="O67" s="996"/>
    </row>
    <row r="68" spans="1:15" ht="49.5" customHeight="1" x14ac:dyDescent="0.25">
      <c r="A68" s="223">
        <v>12.2</v>
      </c>
      <c r="B68" s="227"/>
      <c r="C68" s="995" t="s">
        <v>332</v>
      </c>
      <c r="D68" s="995"/>
      <c r="E68" s="995"/>
      <c r="F68" s="995"/>
      <c r="G68" s="995"/>
      <c r="H68" s="995"/>
      <c r="I68" s="995"/>
      <c r="J68" s="995"/>
      <c r="K68" s="995"/>
      <c r="L68" s="995"/>
      <c r="M68" s="995"/>
      <c r="N68" s="995"/>
      <c r="O68" s="996"/>
    </row>
    <row r="69" spans="1:15" ht="35.25" customHeight="1" x14ac:dyDescent="0.25">
      <c r="A69" s="223" t="s">
        <v>318</v>
      </c>
      <c r="B69" s="227"/>
      <c r="C69" s="228"/>
      <c r="D69" s="995" t="s">
        <v>333</v>
      </c>
      <c r="E69" s="995"/>
      <c r="F69" s="995"/>
      <c r="G69" s="995"/>
      <c r="H69" s="995"/>
      <c r="I69" s="995"/>
      <c r="J69" s="995"/>
      <c r="K69" s="995"/>
      <c r="L69" s="995"/>
      <c r="M69" s="995"/>
      <c r="N69" s="995"/>
      <c r="O69" s="996"/>
    </row>
    <row r="70" spans="1:15" ht="32.25" customHeight="1" x14ac:dyDescent="0.25">
      <c r="A70" s="223" t="s">
        <v>319</v>
      </c>
      <c r="B70" s="227"/>
      <c r="C70" s="228"/>
      <c r="D70" s="995" t="s">
        <v>320</v>
      </c>
      <c r="E70" s="995"/>
      <c r="F70" s="995"/>
      <c r="G70" s="995"/>
      <c r="H70" s="995"/>
      <c r="I70" s="995"/>
      <c r="J70" s="995"/>
      <c r="K70" s="995"/>
      <c r="L70" s="995"/>
      <c r="M70" s="995"/>
      <c r="N70" s="995"/>
      <c r="O70" s="996"/>
    </row>
    <row r="71" spans="1:15" ht="24.75" customHeight="1" x14ac:dyDescent="0.25">
      <c r="A71" s="225" t="s">
        <v>321</v>
      </c>
      <c r="B71" s="227"/>
      <c r="C71" s="228"/>
      <c r="D71" s="995" t="s">
        <v>334</v>
      </c>
      <c r="E71" s="995"/>
      <c r="F71" s="995"/>
      <c r="G71" s="995"/>
      <c r="H71" s="995"/>
      <c r="I71" s="995"/>
      <c r="J71" s="995"/>
      <c r="K71" s="995"/>
      <c r="L71" s="995"/>
      <c r="M71" s="995"/>
      <c r="N71" s="995"/>
      <c r="O71" s="996"/>
    </row>
    <row r="72" spans="1:15" ht="21.75" customHeight="1" x14ac:dyDescent="0.25">
      <c r="A72" s="225" t="s">
        <v>322</v>
      </c>
      <c r="B72" s="227"/>
      <c r="C72" s="228"/>
      <c r="D72" s="228"/>
      <c r="E72" s="995" t="s">
        <v>323</v>
      </c>
      <c r="F72" s="995"/>
      <c r="G72" s="995"/>
      <c r="H72" s="995"/>
      <c r="I72" s="995"/>
      <c r="J72" s="995"/>
      <c r="K72" s="995"/>
      <c r="L72" s="995"/>
      <c r="M72" s="995"/>
      <c r="N72" s="995"/>
      <c r="O72" s="996"/>
    </row>
    <row r="73" spans="1:15" ht="15.75" x14ac:dyDescent="0.25">
      <c r="A73" s="225" t="s">
        <v>324</v>
      </c>
      <c r="B73" s="227"/>
      <c r="C73" s="228"/>
      <c r="D73" s="228"/>
      <c r="E73" s="995" t="s">
        <v>956</v>
      </c>
      <c r="F73" s="995"/>
      <c r="G73" s="995"/>
      <c r="H73" s="995"/>
      <c r="I73" s="995"/>
      <c r="J73" s="995"/>
      <c r="K73" s="995"/>
      <c r="L73" s="995"/>
      <c r="M73" s="995"/>
      <c r="N73" s="995"/>
      <c r="O73" s="996"/>
    </row>
    <row r="74" spans="1:15" ht="34.5" customHeight="1" x14ac:dyDescent="0.25">
      <c r="A74" s="225" t="s">
        <v>325</v>
      </c>
      <c r="B74" s="227"/>
      <c r="C74" s="228"/>
      <c r="D74" s="995" t="s">
        <v>957</v>
      </c>
      <c r="E74" s="995"/>
      <c r="F74" s="995"/>
      <c r="G74" s="995"/>
      <c r="H74" s="995"/>
      <c r="I74" s="995"/>
      <c r="J74" s="995"/>
      <c r="K74" s="995"/>
      <c r="L74" s="995"/>
      <c r="M74" s="995"/>
      <c r="N74" s="995"/>
      <c r="O74" s="996"/>
    </row>
    <row r="75" spans="1:15" ht="48.75" customHeight="1" x14ac:dyDescent="0.25">
      <c r="A75" s="225">
        <v>13</v>
      </c>
      <c r="B75" s="1006" t="s">
        <v>921</v>
      </c>
      <c r="C75" s="1006"/>
      <c r="D75" s="1006"/>
      <c r="E75" s="1006"/>
      <c r="F75" s="1006"/>
      <c r="G75" s="1006"/>
      <c r="H75" s="1006"/>
      <c r="I75" s="1006"/>
      <c r="J75" s="1006"/>
      <c r="K75" s="1006"/>
      <c r="L75" s="1006"/>
      <c r="M75" s="1006"/>
      <c r="N75" s="1006"/>
      <c r="O75" s="1007"/>
    </row>
    <row r="76" spans="1:15" ht="15.75" x14ac:dyDescent="0.25">
      <c r="A76" s="225">
        <v>13.1</v>
      </c>
      <c r="B76" s="227"/>
      <c r="C76" s="995" t="s">
        <v>326</v>
      </c>
      <c r="D76" s="995"/>
      <c r="E76" s="995"/>
      <c r="F76" s="995"/>
      <c r="G76" s="995"/>
      <c r="H76" s="995"/>
      <c r="I76" s="995"/>
      <c r="J76" s="995"/>
      <c r="K76" s="995"/>
      <c r="L76" s="995"/>
      <c r="M76" s="995"/>
      <c r="N76" s="995"/>
      <c r="O76" s="996"/>
    </row>
    <row r="77" spans="1:15" ht="15.75" x14ac:dyDescent="0.25">
      <c r="A77" s="225">
        <v>13.2</v>
      </c>
      <c r="B77" s="227"/>
      <c r="C77" s="995" t="s">
        <v>327</v>
      </c>
      <c r="D77" s="995"/>
      <c r="E77" s="995"/>
      <c r="F77" s="995"/>
      <c r="G77" s="995"/>
      <c r="H77" s="995"/>
      <c r="I77" s="995"/>
      <c r="J77" s="995"/>
      <c r="K77" s="995"/>
      <c r="L77" s="995"/>
      <c r="M77" s="995"/>
      <c r="N77" s="995"/>
      <c r="O77" s="996"/>
    </row>
    <row r="78" spans="1:15" ht="15.75" x14ac:dyDescent="0.25">
      <c r="A78" s="225">
        <v>13.3</v>
      </c>
      <c r="B78" s="227"/>
      <c r="C78" s="995" t="s">
        <v>328</v>
      </c>
      <c r="D78" s="995"/>
      <c r="E78" s="995"/>
      <c r="F78" s="995"/>
      <c r="G78" s="995"/>
      <c r="H78" s="995"/>
      <c r="I78" s="995"/>
      <c r="J78" s="995"/>
      <c r="K78" s="995"/>
      <c r="L78" s="995"/>
      <c r="M78" s="995"/>
      <c r="N78" s="995"/>
      <c r="O78" s="996"/>
    </row>
    <row r="79" spans="1:15" ht="15.75" x14ac:dyDescent="0.25">
      <c r="A79" s="225">
        <v>13.4</v>
      </c>
      <c r="B79" s="227"/>
      <c r="C79" s="995" t="s">
        <v>922</v>
      </c>
      <c r="D79" s="995"/>
      <c r="E79" s="995"/>
      <c r="F79" s="995"/>
      <c r="G79" s="995"/>
      <c r="H79" s="995"/>
      <c r="I79" s="995"/>
      <c r="J79" s="995"/>
      <c r="K79" s="995"/>
      <c r="L79" s="995"/>
      <c r="M79" s="995"/>
      <c r="N79" s="995"/>
      <c r="O79" s="996"/>
    </row>
    <row r="80" spans="1:15" ht="15.75" x14ac:dyDescent="0.25">
      <c r="A80" s="225">
        <v>14</v>
      </c>
      <c r="B80" s="1006" t="s">
        <v>335</v>
      </c>
      <c r="C80" s="1006"/>
      <c r="D80" s="1006"/>
      <c r="E80" s="1006"/>
      <c r="F80" s="1006"/>
      <c r="G80" s="1006"/>
      <c r="H80" s="1006"/>
      <c r="I80" s="1006"/>
      <c r="J80" s="1006"/>
      <c r="K80" s="1006"/>
      <c r="L80" s="1006"/>
      <c r="M80" s="1006"/>
      <c r="N80" s="1006"/>
      <c r="O80" s="1007"/>
    </row>
    <row r="81" spans="1:15" ht="15.75" x14ac:dyDescent="0.25">
      <c r="A81" s="225">
        <v>14.1</v>
      </c>
      <c r="B81" s="227"/>
      <c r="C81" s="995" t="s">
        <v>958</v>
      </c>
      <c r="D81" s="995"/>
      <c r="E81" s="995"/>
      <c r="F81" s="995"/>
      <c r="G81" s="995"/>
      <c r="H81" s="995"/>
      <c r="I81" s="995"/>
      <c r="J81" s="995"/>
      <c r="K81" s="995"/>
      <c r="L81" s="995"/>
      <c r="M81" s="995"/>
      <c r="N81" s="995"/>
      <c r="O81" s="996"/>
    </row>
    <row r="82" spans="1:15" ht="15.75" x14ac:dyDescent="0.25">
      <c r="A82" s="225">
        <v>14.2</v>
      </c>
      <c r="B82" s="227"/>
      <c r="C82" s="995" t="s">
        <v>923</v>
      </c>
      <c r="D82" s="995"/>
      <c r="E82" s="995"/>
      <c r="F82" s="995"/>
      <c r="G82" s="995"/>
      <c r="H82" s="995"/>
      <c r="I82" s="995"/>
      <c r="J82" s="995"/>
      <c r="K82" s="995"/>
      <c r="L82" s="995"/>
      <c r="M82" s="995"/>
      <c r="N82" s="995"/>
      <c r="O82" s="996"/>
    </row>
    <row r="83" spans="1:15" ht="15.75" x14ac:dyDescent="0.25">
      <c r="A83" s="225">
        <v>14.3</v>
      </c>
      <c r="B83" s="227"/>
      <c r="C83" s="995" t="s">
        <v>959</v>
      </c>
      <c r="D83" s="995"/>
      <c r="E83" s="995"/>
      <c r="F83" s="995"/>
      <c r="G83" s="995"/>
      <c r="H83" s="995"/>
      <c r="I83" s="995"/>
      <c r="J83" s="995"/>
      <c r="K83" s="995"/>
      <c r="L83" s="995"/>
      <c r="M83" s="995"/>
      <c r="N83" s="995"/>
      <c r="O83" s="996"/>
    </row>
    <row r="84" spans="1:15" ht="15.75" x14ac:dyDescent="0.25">
      <c r="A84" s="225">
        <v>14.4</v>
      </c>
      <c r="B84" s="227"/>
      <c r="C84" s="995" t="s">
        <v>329</v>
      </c>
      <c r="D84" s="995"/>
      <c r="E84" s="995"/>
      <c r="F84" s="995"/>
      <c r="G84" s="995"/>
      <c r="H84" s="995"/>
      <c r="I84" s="995"/>
      <c r="J84" s="995"/>
      <c r="K84" s="995"/>
      <c r="L84" s="995"/>
      <c r="M84" s="995"/>
      <c r="N84" s="995"/>
      <c r="O84" s="996"/>
    </row>
    <row r="85" spans="1:15" ht="15.75" x14ac:dyDescent="0.25">
      <c r="A85" s="225">
        <v>14.5</v>
      </c>
      <c r="B85" s="227"/>
      <c r="C85" s="995" t="s">
        <v>336</v>
      </c>
      <c r="D85" s="995"/>
      <c r="E85" s="995"/>
      <c r="F85" s="995"/>
      <c r="G85" s="995"/>
      <c r="H85" s="995"/>
      <c r="I85" s="995"/>
      <c r="J85" s="995"/>
      <c r="K85" s="995"/>
      <c r="L85" s="995"/>
      <c r="M85" s="995"/>
      <c r="N85" s="995"/>
      <c r="O85" s="996"/>
    </row>
    <row r="86" spans="1:15" ht="33" customHeight="1" x14ac:dyDescent="0.25">
      <c r="A86" s="226">
        <v>15</v>
      </c>
      <c r="B86" s="997" t="s">
        <v>330</v>
      </c>
      <c r="C86" s="997"/>
      <c r="D86" s="997"/>
      <c r="E86" s="997"/>
      <c r="F86" s="997"/>
      <c r="G86" s="997"/>
      <c r="H86" s="997"/>
      <c r="I86" s="997"/>
      <c r="J86" s="997"/>
      <c r="K86" s="997"/>
      <c r="L86" s="997"/>
      <c r="M86" s="997"/>
      <c r="N86" s="997"/>
      <c r="O86" s="998"/>
    </row>
    <row r="87" spans="1:15" ht="15.75" x14ac:dyDescent="0.25">
      <c r="A87" s="229"/>
      <c r="B87" s="230"/>
    </row>
    <row r="88" spans="1:15" ht="15.75" x14ac:dyDescent="0.25">
      <c r="A88" s="231"/>
      <c r="B88" s="232"/>
    </row>
    <row r="89" spans="1:15" ht="15.75" x14ac:dyDescent="0.25">
      <c r="A89" s="231"/>
      <c r="B89" s="232"/>
    </row>
  </sheetData>
  <sheetProtection algorithmName="SHA-512" hashValue="0UvZ5DCb8N9hrbWHTNkCubKg+Ff2iXepoAnsoSv65Oh9R97e79NftZAadns+tIolp1qXmAp5DXIhWMXKeXyIIg==" saltValue="faHvynVoDPqcXuDKokINZQ==" spinCount="100000" sheet="1" objects="1" scenarios="1" selectLockedCells="1"/>
  <mergeCells count="48">
    <mergeCell ref="B48:O48"/>
    <mergeCell ref="C43:O43"/>
    <mergeCell ref="B8:O9"/>
    <mergeCell ref="C10:O10"/>
    <mergeCell ref="C11:O12"/>
    <mergeCell ref="A24:B25"/>
    <mergeCell ref="C40:O40"/>
    <mergeCell ref="C41:O42"/>
    <mergeCell ref="B13:E13"/>
    <mergeCell ref="A14:O14"/>
    <mergeCell ref="C21:O22"/>
    <mergeCell ref="C24:O25"/>
    <mergeCell ref="C26:O27"/>
    <mergeCell ref="A26:B27"/>
    <mergeCell ref="A21:B22"/>
    <mergeCell ref="B55:O55"/>
    <mergeCell ref="B56:O56"/>
    <mergeCell ref="B57:O57"/>
    <mergeCell ref="B58:O58"/>
    <mergeCell ref="B59:O59"/>
    <mergeCell ref="B65:O65"/>
    <mergeCell ref="B66:O66"/>
    <mergeCell ref="C67:O67"/>
    <mergeCell ref="C68:O68"/>
    <mergeCell ref="B60:O60"/>
    <mergeCell ref="C77:O77"/>
    <mergeCell ref="C78:O78"/>
    <mergeCell ref="D69:O69"/>
    <mergeCell ref="D70:O70"/>
    <mergeCell ref="D71:O71"/>
    <mergeCell ref="E72:O72"/>
    <mergeCell ref="E73:O73"/>
    <mergeCell ref="C84:O84"/>
    <mergeCell ref="C85:O85"/>
    <mergeCell ref="B86:O86"/>
    <mergeCell ref="B54:O54"/>
    <mergeCell ref="B61:O61"/>
    <mergeCell ref="B62:O62"/>
    <mergeCell ref="B63:O63"/>
    <mergeCell ref="B64:O64"/>
    <mergeCell ref="C79:O79"/>
    <mergeCell ref="B80:O80"/>
    <mergeCell ref="C81:O81"/>
    <mergeCell ref="C82:O82"/>
    <mergeCell ref="C83:O83"/>
    <mergeCell ref="D74:O74"/>
    <mergeCell ref="B75:O75"/>
    <mergeCell ref="C76:O76"/>
  </mergeCells>
  <pageMargins left="0.70866141732283472" right="0.70866141732283472" top="0.74803149606299213" bottom="0.74803149606299213" header="0.31496062992125984" footer="0.31496062992125984"/>
  <pageSetup paperSize="9" scale="59" fitToHeight="3" orientation="portrait" r:id="rId1"/>
  <headerFooter>
    <oddHeader>&amp;C&amp;"Arial"&amp;12&amp;KA80000 OFFICIAL&amp;1#_x000D_</oddHeader>
    <oddFooter>&amp;L&amp;Z
&amp;F&amp;C&amp;A
Page &amp;P of &amp;N Pages&amp;R&amp;N</oddFoot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Y85"/>
  <sheetViews>
    <sheetView showGridLines="0" zoomScale="90" zoomScaleNormal="90" workbookViewId="0">
      <selection activeCell="G8" sqref="G8:M19"/>
    </sheetView>
  </sheetViews>
  <sheetFormatPr defaultRowHeight="15" x14ac:dyDescent="0.25"/>
  <cols>
    <col min="1" max="1" width="21.140625" customWidth="1"/>
    <col min="2" max="2" width="11.5703125" customWidth="1"/>
    <col min="3" max="3" width="37.7109375" customWidth="1"/>
    <col min="4" max="4" width="13.5703125" customWidth="1"/>
    <col min="5" max="5" width="11" customWidth="1"/>
    <col min="7" max="7" width="21.5703125" customWidth="1"/>
    <col min="8" max="8" width="15" customWidth="1"/>
    <col min="9" max="9" width="12.7109375" customWidth="1"/>
    <col min="10" max="10" width="12.42578125" customWidth="1"/>
    <col min="11" max="11" width="14.42578125" customWidth="1"/>
    <col min="12" max="12" width="13.5703125" customWidth="1"/>
    <col min="13" max="13" width="50.42578125" customWidth="1"/>
    <col min="15" max="15" width="11.140625" customWidth="1"/>
    <col min="17" max="17" width="11.140625" bestFit="1" customWidth="1"/>
    <col min="18" max="18" width="12.42578125" customWidth="1"/>
    <col min="19" max="19" width="16.85546875" customWidth="1"/>
    <col min="20" max="22" width="12.42578125" customWidth="1"/>
    <col min="24" max="24" width="32.5703125" bestFit="1" customWidth="1"/>
    <col min="25" max="25" width="12.140625" bestFit="1" customWidth="1"/>
  </cols>
  <sheetData>
    <row r="1" spans="1:25" ht="51" customHeight="1" x14ac:dyDescent="0.25">
      <c r="A1" s="1322" t="s">
        <v>485</v>
      </c>
      <c r="B1" s="1323"/>
      <c r="C1" s="1324" t="str">
        <f>'Summary Page'!E13</f>
        <v/>
      </c>
      <c r="D1" s="1325"/>
      <c r="E1" s="1326"/>
      <c r="F1" s="1313"/>
      <c r="G1" s="1314"/>
      <c r="H1" s="1314"/>
      <c r="I1" s="1314"/>
      <c r="J1" s="1315"/>
      <c r="K1" s="1295" t="s">
        <v>460</v>
      </c>
      <c r="L1" s="1295"/>
      <c r="M1" s="404" t="s">
        <v>488</v>
      </c>
      <c r="P1" s="525" t="str">
        <f>B30</f>
        <v>A1005</v>
      </c>
      <c r="Q1" s="526" t="s">
        <v>19</v>
      </c>
      <c r="R1" s="1273" t="str">
        <f>C30</f>
        <v>Load and haul of mined, processed, stockpiled materials or topsoil</v>
      </c>
      <c r="S1" s="1274"/>
      <c r="T1" s="1274"/>
      <c r="U1" s="1274"/>
      <c r="V1" s="1275"/>
      <c r="X1" s="516" t="s">
        <v>74</v>
      </c>
      <c r="Y1" s="516" t="str">
        <f>B22</f>
        <v>A1087</v>
      </c>
    </row>
    <row r="2" spans="1:25" ht="30" customHeight="1" x14ac:dyDescent="0.35">
      <c r="A2" s="324" t="s">
        <v>461</v>
      </c>
      <c r="B2" s="325">
        <v>3</v>
      </c>
      <c r="C2" s="1296" t="str">
        <f>'Summary Page'!E19</f>
        <v/>
      </c>
      <c r="D2" s="1297"/>
      <c r="E2" s="1348"/>
      <c r="F2" s="1316"/>
      <c r="G2" s="1317"/>
      <c r="H2" s="1317"/>
      <c r="I2" s="1317"/>
      <c r="J2" s="1318"/>
      <c r="K2" s="326"/>
      <c r="L2" s="327" t="s">
        <v>152</v>
      </c>
      <c r="M2" s="328">
        <f>K57</f>
        <v>0</v>
      </c>
      <c r="P2" s="297" t="s">
        <v>61</v>
      </c>
      <c r="Q2" s="371" t="s">
        <v>58</v>
      </c>
      <c r="R2" s="371" t="s">
        <v>59</v>
      </c>
      <c r="S2" s="371" t="s">
        <v>60</v>
      </c>
      <c r="T2" s="371" t="s">
        <v>53</v>
      </c>
      <c r="U2" s="372" t="s">
        <v>61</v>
      </c>
      <c r="V2" s="373" t="s">
        <v>53</v>
      </c>
      <c r="X2" s="41" t="s">
        <v>833</v>
      </c>
      <c r="Y2" s="466">
        <f>VLOOKUP(Y1,Activities!A10:Q129,16,FALSE)</f>
        <v>27868.467286149284</v>
      </c>
    </row>
    <row r="3" spans="1:25" ht="21" x14ac:dyDescent="0.25">
      <c r="A3" s="329" t="s">
        <v>267</v>
      </c>
      <c r="B3" s="330">
        <f>'Version Control'!B50</f>
        <v>7</v>
      </c>
      <c r="C3" s="1356" t="s">
        <v>488</v>
      </c>
      <c r="D3" s="1357"/>
      <c r="E3" s="1358"/>
      <c r="F3" s="1319"/>
      <c r="G3" s="1320"/>
      <c r="H3" s="1320"/>
      <c r="I3" s="1320"/>
      <c r="J3" s="1321"/>
      <c r="K3" s="331"/>
      <c r="L3" s="332" t="s">
        <v>462</v>
      </c>
      <c r="M3" s="333">
        <f>'Summary Page'!J73</f>
        <v>0</v>
      </c>
      <c r="P3" s="374" t="s">
        <v>35</v>
      </c>
      <c r="Q3" s="357">
        <f>VLOOKUP(P1,Activities!$A$10:$Q$152,16,FALSE)</f>
        <v>1.1086505828514972</v>
      </c>
      <c r="R3" s="357">
        <f>VLOOKUP(Q1,Activities!$A$10:$Q$152,16,FALSE)</f>
        <v>1.1303836975020005</v>
      </c>
      <c r="S3" s="376">
        <v>1</v>
      </c>
      <c r="T3" s="375">
        <f>R3+Q3</f>
        <v>2.2390342803534979</v>
      </c>
      <c r="U3" s="235" t="s">
        <v>35</v>
      </c>
      <c r="V3" s="377">
        <f>T3</f>
        <v>2.2390342803534979</v>
      </c>
      <c r="X3" s="71" t="s">
        <v>836</v>
      </c>
      <c r="Y3" s="467">
        <f>Y2*2</f>
        <v>55736.934572298567</v>
      </c>
    </row>
    <row r="4" spans="1:25" ht="21" x14ac:dyDescent="0.25">
      <c r="A4" s="334" t="s">
        <v>463</v>
      </c>
      <c r="B4" s="335">
        <f>'Version Control'!A50</f>
        <v>45531</v>
      </c>
      <c r="C4" s="233"/>
      <c r="D4" s="233"/>
      <c r="E4" s="233"/>
      <c r="F4" s="233"/>
      <c r="G4" s="233"/>
      <c r="H4" s="233"/>
      <c r="I4" s="233"/>
      <c r="J4" s="233"/>
      <c r="K4" s="294"/>
      <c r="L4" s="336" t="s">
        <v>464</v>
      </c>
      <c r="M4" s="337" t="e">
        <f>M2/M3</f>
        <v>#DIV/0!</v>
      </c>
      <c r="P4" s="374" t="s">
        <v>36</v>
      </c>
      <c r="Q4" s="357">
        <f>Q3</f>
        <v>1.1086505828514972</v>
      </c>
      <c r="R4" s="375">
        <f>R3*2</f>
        <v>2.260767395004001</v>
      </c>
      <c r="S4" s="376">
        <v>0.8</v>
      </c>
      <c r="T4" s="375">
        <f>Q4+(R4*S4)</f>
        <v>2.9172644988546983</v>
      </c>
      <c r="U4" s="235" t="s">
        <v>36</v>
      </c>
      <c r="V4" s="377">
        <f>T4</f>
        <v>2.9172644988546983</v>
      </c>
      <c r="X4" s="71" t="s">
        <v>834</v>
      </c>
      <c r="Y4" s="467">
        <f>Y2*3-1</f>
        <v>83604.401858447847</v>
      </c>
    </row>
    <row r="5" spans="1:25" ht="23.25" x14ac:dyDescent="0.25">
      <c r="A5" s="1349" t="s">
        <v>612</v>
      </c>
      <c r="B5" s="1298"/>
      <c r="C5" s="1298"/>
      <c r="D5" s="1298"/>
      <c r="E5" s="1299"/>
      <c r="F5" s="233"/>
      <c r="G5" s="1302" t="s">
        <v>466</v>
      </c>
      <c r="H5" s="1303"/>
      <c r="I5" s="1303"/>
      <c r="J5" s="1304"/>
      <c r="K5" s="233"/>
      <c r="L5" s="233"/>
      <c r="M5" s="233"/>
      <c r="P5" s="374" t="s">
        <v>37</v>
      </c>
      <c r="Q5" s="357">
        <f t="shared" ref="Q5:Q6" si="0">Q4</f>
        <v>1.1086505828514972</v>
      </c>
      <c r="R5" s="375">
        <f>R3*4</f>
        <v>4.5215347900080021</v>
      </c>
      <c r="S5" s="376">
        <v>0.7</v>
      </c>
      <c r="T5" s="375">
        <f>Q5+(R5*S5)</f>
        <v>4.2737249358570981</v>
      </c>
      <c r="U5" s="235" t="s">
        <v>37</v>
      </c>
      <c r="V5" s="377">
        <f>T5</f>
        <v>4.2737249358570981</v>
      </c>
      <c r="X5" s="71" t="s">
        <v>835</v>
      </c>
      <c r="Y5" s="467">
        <f>Y2*5-1</f>
        <v>139341.33643074642</v>
      </c>
    </row>
    <row r="6" spans="1:25" ht="15" customHeight="1" x14ac:dyDescent="0.25">
      <c r="A6" s="1350"/>
      <c r="B6" s="1351"/>
      <c r="C6" s="1351"/>
      <c r="D6" s="1351"/>
      <c r="E6" s="1352"/>
      <c r="F6" s="299"/>
      <c r="G6" s="1305" t="s">
        <v>484</v>
      </c>
      <c r="H6" s="1306"/>
      <c r="I6" s="1306"/>
      <c r="J6" s="1306"/>
      <c r="K6" s="1306"/>
      <c r="L6" s="1306"/>
      <c r="M6" s="1307"/>
      <c r="P6" s="374" t="s">
        <v>38</v>
      </c>
      <c r="Q6" s="357">
        <f t="shared" si="0"/>
        <v>1.1086505828514972</v>
      </c>
      <c r="R6" s="375">
        <f>R3*8</f>
        <v>9.0430695800160041</v>
      </c>
      <c r="S6" s="376">
        <v>0.6</v>
      </c>
      <c r="T6" s="375">
        <f>Q6+(R6*S6)</f>
        <v>6.5344923308610987</v>
      </c>
      <c r="U6" s="235" t="s">
        <v>244</v>
      </c>
      <c r="V6" s="377">
        <f>T6</f>
        <v>6.5344923308610987</v>
      </c>
      <c r="X6" s="52" t="s">
        <v>613</v>
      </c>
      <c r="Y6" s="124"/>
    </row>
    <row r="7" spans="1:25" ht="15" customHeight="1" x14ac:dyDescent="0.25">
      <c r="A7" s="348">
        <v>1</v>
      </c>
      <c r="B7" s="1353" t="s">
        <v>85</v>
      </c>
      <c r="C7" s="1354"/>
      <c r="D7" s="1354"/>
      <c r="E7" s="1355"/>
      <c r="F7" s="339"/>
      <c r="G7" s="1308"/>
      <c r="H7" s="1309"/>
      <c r="I7" s="1309"/>
      <c r="J7" s="1309"/>
      <c r="K7" s="1309"/>
      <c r="L7" s="1309"/>
      <c r="M7" s="1310"/>
      <c r="P7" s="238"/>
      <c r="Q7" s="236"/>
      <c r="R7" s="236"/>
      <c r="S7" s="236"/>
      <c r="T7" s="236"/>
      <c r="U7" s="236" t="s">
        <v>264</v>
      </c>
      <c r="V7" s="237"/>
    </row>
    <row r="8" spans="1:25" ht="18.75" x14ac:dyDescent="0.25">
      <c r="A8" s="297">
        <v>2</v>
      </c>
      <c r="B8" s="1340" t="s">
        <v>86</v>
      </c>
      <c r="C8" s="1341"/>
      <c r="D8" s="1341"/>
      <c r="E8" s="1342"/>
      <c r="F8" s="339"/>
      <c r="G8" s="1137"/>
      <c r="H8" s="1138"/>
      <c r="I8" s="1138"/>
      <c r="J8" s="1138"/>
      <c r="K8" s="1138"/>
      <c r="L8" s="1138"/>
      <c r="M8" s="1139"/>
      <c r="P8" s="525" t="str">
        <f>B31</f>
        <v>A1006</v>
      </c>
      <c r="Q8" s="526" t="s">
        <v>19</v>
      </c>
      <c r="R8" s="1273" t="s">
        <v>893</v>
      </c>
      <c r="S8" s="1274"/>
      <c r="T8" s="1274"/>
      <c r="U8" s="1274"/>
      <c r="V8" s="1275"/>
      <c r="X8" s="127"/>
      <c r="Y8" s="135"/>
    </row>
    <row r="9" spans="1:25" ht="30.75" customHeight="1" x14ac:dyDescent="0.25">
      <c r="A9" s="297">
        <v>3</v>
      </c>
      <c r="B9" s="1343" t="s">
        <v>348</v>
      </c>
      <c r="C9" s="1344"/>
      <c r="D9" s="1344"/>
      <c r="E9" s="1345"/>
      <c r="F9" s="339"/>
      <c r="G9" s="1140"/>
      <c r="H9" s="1141"/>
      <c r="I9" s="1141"/>
      <c r="J9" s="1141"/>
      <c r="K9" s="1141"/>
      <c r="L9" s="1141"/>
      <c r="M9" s="1142"/>
      <c r="P9" s="297" t="s">
        <v>61</v>
      </c>
      <c r="Q9" s="371" t="s">
        <v>58</v>
      </c>
      <c r="R9" s="371" t="s">
        <v>59</v>
      </c>
      <c r="S9" s="371" t="s">
        <v>60</v>
      </c>
      <c r="T9" s="371" t="s">
        <v>53</v>
      </c>
      <c r="U9" s="372" t="s">
        <v>61</v>
      </c>
      <c r="V9" s="373" t="s">
        <v>53</v>
      </c>
      <c r="X9" s="116"/>
      <c r="Y9" s="125"/>
    </row>
    <row r="10" spans="1:25" x14ac:dyDescent="0.25">
      <c r="A10" s="297">
        <v>4</v>
      </c>
      <c r="B10" s="1327" t="s">
        <v>73</v>
      </c>
      <c r="C10" s="1327"/>
      <c r="D10" s="1327"/>
      <c r="E10" s="1328"/>
      <c r="F10" s="339"/>
      <c r="G10" s="1140"/>
      <c r="H10" s="1141"/>
      <c r="I10" s="1141"/>
      <c r="J10" s="1141"/>
      <c r="K10" s="1141"/>
      <c r="L10" s="1141"/>
      <c r="M10" s="1142"/>
      <c r="P10" s="374" t="s">
        <v>35</v>
      </c>
      <c r="Q10" s="357">
        <f>VLOOKUP(P8,Activities!$A$10:$Q$152,16,FALSE)</f>
        <v>1.1086505828514972</v>
      </c>
      <c r="R10" s="357">
        <f>VLOOKUP(Q8,Activities!$A$10:$Q$152,16,FALSE)</f>
        <v>1.1303836975020005</v>
      </c>
      <c r="S10" s="376">
        <v>1</v>
      </c>
      <c r="T10" s="375">
        <f>R10+Q10</f>
        <v>2.2390342803534979</v>
      </c>
      <c r="U10" s="235" t="s">
        <v>35</v>
      </c>
      <c r="V10" s="377">
        <f>T10</f>
        <v>2.2390342803534979</v>
      </c>
    </row>
    <row r="11" spans="1:25" x14ac:dyDescent="0.25">
      <c r="A11" s="297">
        <v>5</v>
      </c>
      <c r="B11" s="1330" t="s">
        <v>486</v>
      </c>
      <c r="C11" s="1331"/>
      <c r="D11" s="1331"/>
      <c r="E11" s="1332"/>
      <c r="F11" s="339"/>
      <c r="G11" s="1140"/>
      <c r="H11" s="1141"/>
      <c r="I11" s="1141"/>
      <c r="J11" s="1141"/>
      <c r="K11" s="1141"/>
      <c r="L11" s="1141"/>
      <c r="M11" s="1142"/>
      <c r="P11" s="374" t="s">
        <v>36</v>
      </c>
      <c r="Q11" s="375">
        <f>Q10</f>
        <v>1.1086505828514972</v>
      </c>
      <c r="R11" s="375">
        <f>R10*2</f>
        <v>2.260767395004001</v>
      </c>
      <c r="S11" s="376">
        <v>0.8</v>
      </c>
      <c r="T11" s="375">
        <f>Q11+(R11*S11)</f>
        <v>2.9172644988546983</v>
      </c>
      <c r="U11" s="235" t="s">
        <v>36</v>
      </c>
      <c r="V11" s="377">
        <f>T11</f>
        <v>2.9172644988546983</v>
      </c>
    </row>
    <row r="12" spans="1:25" x14ac:dyDescent="0.25">
      <c r="A12" s="305">
        <v>6</v>
      </c>
      <c r="B12" s="1346" t="s">
        <v>487</v>
      </c>
      <c r="C12" s="1346"/>
      <c r="D12" s="1346"/>
      <c r="E12" s="1347"/>
      <c r="F12" s="233"/>
      <c r="G12" s="1140"/>
      <c r="H12" s="1141"/>
      <c r="I12" s="1141"/>
      <c r="J12" s="1141"/>
      <c r="K12" s="1141"/>
      <c r="L12" s="1141"/>
      <c r="M12" s="1142"/>
      <c r="P12" s="374" t="s">
        <v>37</v>
      </c>
      <c r="Q12" s="375">
        <f t="shared" ref="Q12:Q13" si="1">Q11</f>
        <v>1.1086505828514972</v>
      </c>
      <c r="R12" s="375">
        <f>R10*4</f>
        <v>4.5215347900080021</v>
      </c>
      <c r="S12" s="376">
        <v>0.7</v>
      </c>
      <c r="T12" s="375">
        <f>Q12+(R12*S12)</f>
        <v>4.2737249358570981</v>
      </c>
      <c r="U12" s="235" t="s">
        <v>37</v>
      </c>
      <c r="V12" s="377">
        <f>T12</f>
        <v>4.2737249358570981</v>
      </c>
    </row>
    <row r="13" spans="1:25" x14ac:dyDescent="0.25">
      <c r="A13" s="340" t="s">
        <v>34</v>
      </c>
      <c r="B13" s="233"/>
      <c r="C13" s="233"/>
      <c r="D13" s="233"/>
      <c r="E13" s="233"/>
      <c r="F13" s="233"/>
      <c r="G13" s="1140"/>
      <c r="H13" s="1141"/>
      <c r="I13" s="1141"/>
      <c r="J13" s="1141"/>
      <c r="K13" s="1141"/>
      <c r="L13" s="1141"/>
      <c r="M13" s="1142"/>
      <c r="P13" s="374" t="s">
        <v>38</v>
      </c>
      <c r="Q13" s="375">
        <f t="shared" si="1"/>
        <v>1.1086505828514972</v>
      </c>
      <c r="R13" s="375">
        <f>R10*8</f>
        <v>9.0430695800160041</v>
      </c>
      <c r="S13" s="376">
        <v>0.6</v>
      </c>
      <c r="T13" s="375">
        <f>Q13+(R13*S13)</f>
        <v>6.5344923308610987</v>
      </c>
      <c r="U13" s="235" t="s">
        <v>244</v>
      </c>
      <c r="V13" s="377">
        <f>T13</f>
        <v>6.5344923308610987</v>
      </c>
    </row>
    <row r="14" spans="1:25" x14ac:dyDescent="0.25">
      <c r="A14" s="1276"/>
      <c r="B14" s="1277"/>
      <c r="C14" s="1278" t="s">
        <v>352</v>
      </c>
      <c r="D14" s="1278"/>
      <c r="E14" s="1279"/>
      <c r="F14" s="233"/>
      <c r="G14" s="1140"/>
      <c r="H14" s="1141"/>
      <c r="I14" s="1141"/>
      <c r="J14" s="1141"/>
      <c r="K14" s="1141"/>
      <c r="L14" s="1141"/>
      <c r="M14" s="1142"/>
      <c r="P14" s="238"/>
      <c r="Q14" s="236"/>
      <c r="R14" s="236"/>
      <c r="S14" s="236"/>
      <c r="T14" s="236"/>
      <c r="U14" s="236" t="s">
        <v>264</v>
      </c>
      <c r="V14" s="237"/>
    </row>
    <row r="15" spans="1:25" x14ac:dyDescent="0.25">
      <c r="A15" s="1201"/>
      <c r="B15" s="1202"/>
      <c r="C15" s="1280" t="s">
        <v>467</v>
      </c>
      <c r="D15" s="1280"/>
      <c r="E15" s="1281"/>
      <c r="F15" s="233"/>
      <c r="G15" s="1140"/>
      <c r="H15" s="1141"/>
      <c r="I15" s="1141"/>
      <c r="J15" s="1141"/>
      <c r="K15" s="1141"/>
      <c r="L15" s="1141"/>
      <c r="M15" s="1142"/>
      <c r="P15" s="233"/>
      <c r="Q15" s="233"/>
      <c r="R15" s="233"/>
      <c r="S15" s="233"/>
      <c r="T15" s="233"/>
      <c r="U15" s="233"/>
      <c r="V15" s="233"/>
    </row>
    <row r="16" spans="1:25" ht="18.75" x14ac:dyDescent="0.25">
      <c r="A16" s="1284" t="s">
        <v>826</v>
      </c>
      <c r="B16" s="1285"/>
      <c r="C16" s="1285"/>
      <c r="D16" s="1285"/>
      <c r="E16" s="1286"/>
      <c r="F16" s="233"/>
      <c r="G16" s="1140"/>
      <c r="H16" s="1141"/>
      <c r="I16" s="1141"/>
      <c r="J16" s="1141"/>
      <c r="K16" s="1141"/>
      <c r="L16" s="1141"/>
      <c r="M16" s="1142"/>
      <c r="P16" s="525" t="str">
        <f>B39</f>
        <v>A1013</v>
      </c>
      <c r="Q16" s="526" t="s">
        <v>19</v>
      </c>
      <c r="R16" s="1273" t="s">
        <v>72</v>
      </c>
      <c r="S16" s="1274"/>
      <c r="T16" s="1274"/>
      <c r="U16" s="1274"/>
      <c r="V16" s="1275"/>
    </row>
    <row r="17" spans="1:24" ht="34.5" customHeight="1" x14ac:dyDescent="0.25">
      <c r="A17" s="1287"/>
      <c r="B17" s="1288"/>
      <c r="C17" s="1288"/>
      <c r="D17" s="1288"/>
      <c r="E17" s="1289"/>
      <c r="F17" s="233"/>
      <c r="G17" s="1140"/>
      <c r="H17" s="1141"/>
      <c r="I17" s="1141"/>
      <c r="J17" s="1141"/>
      <c r="K17" s="1141"/>
      <c r="L17" s="1141"/>
      <c r="M17" s="1142"/>
      <c r="P17" s="297" t="s">
        <v>61</v>
      </c>
      <c r="Q17" s="371" t="s">
        <v>58</v>
      </c>
      <c r="R17" s="371" t="s">
        <v>59</v>
      </c>
      <c r="S17" s="371" t="s">
        <v>60</v>
      </c>
      <c r="T17" s="371" t="s">
        <v>53</v>
      </c>
      <c r="U17" s="372" t="s">
        <v>61</v>
      </c>
      <c r="V17" s="373" t="s">
        <v>53</v>
      </c>
    </row>
    <row r="18" spans="1:24" x14ac:dyDescent="0.25">
      <c r="A18" s="1287"/>
      <c r="B18" s="1288"/>
      <c r="C18" s="1288"/>
      <c r="D18" s="1288"/>
      <c r="E18" s="1289"/>
      <c r="F18" s="233"/>
      <c r="G18" s="1140"/>
      <c r="H18" s="1141"/>
      <c r="I18" s="1141"/>
      <c r="J18" s="1141"/>
      <c r="K18" s="1141"/>
      <c r="L18" s="1141"/>
      <c r="M18" s="1142"/>
      <c r="P18" s="374" t="s">
        <v>35</v>
      </c>
      <c r="Q18" s="357">
        <f>VLOOKUP(P16,Activities!$A$10:$Q$152,16,FALSE)</f>
        <v>1.4289323610931841</v>
      </c>
      <c r="R18" s="357">
        <f>VLOOKUP(Q16,Activities!$A$10:$Q$152,16,FALSE)</f>
        <v>1.1303836975020005</v>
      </c>
      <c r="S18" s="376">
        <v>1</v>
      </c>
      <c r="T18" s="375">
        <f>R18+Q18</f>
        <v>2.5593160585951846</v>
      </c>
      <c r="U18" s="235" t="s">
        <v>35</v>
      </c>
      <c r="V18" s="377">
        <f>T18</f>
        <v>2.5593160585951846</v>
      </c>
    </row>
    <row r="19" spans="1:24" x14ac:dyDescent="0.25">
      <c r="A19" s="1290"/>
      <c r="B19" s="1291"/>
      <c r="C19" s="1291"/>
      <c r="D19" s="1291"/>
      <c r="E19" s="1292"/>
      <c r="F19" s="233"/>
      <c r="G19" s="1143"/>
      <c r="H19" s="1144"/>
      <c r="I19" s="1144"/>
      <c r="J19" s="1144"/>
      <c r="K19" s="1144"/>
      <c r="L19" s="1144"/>
      <c r="M19" s="1145"/>
      <c r="P19" s="374" t="s">
        <v>36</v>
      </c>
      <c r="Q19" s="375">
        <f>Q18</f>
        <v>1.4289323610931841</v>
      </c>
      <c r="R19" s="375">
        <f>R18*2</f>
        <v>2.260767395004001</v>
      </c>
      <c r="S19" s="376">
        <v>0.8</v>
      </c>
      <c r="T19" s="375">
        <f>Q19+(R19*S19)</f>
        <v>3.237546277096385</v>
      </c>
      <c r="U19" s="235" t="s">
        <v>36</v>
      </c>
      <c r="V19" s="377">
        <f>T19</f>
        <v>3.237546277096385</v>
      </c>
    </row>
    <row r="20" spans="1:24" ht="15" customHeight="1" x14ac:dyDescent="0.25">
      <c r="A20" s="137"/>
      <c r="B20" s="137"/>
      <c r="C20" s="137"/>
      <c r="D20" s="366"/>
      <c r="E20" s="137"/>
      <c r="F20" s="137"/>
      <c r="G20" s="137"/>
      <c r="H20" s="137"/>
      <c r="I20" s="137"/>
      <c r="J20" s="219"/>
      <c r="K20" s="367"/>
      <c r="L20" s="1291"/>
      <c r="M20" s="1292"/>
      <c r="N20" s="136"/>
      <c r="O20" s="136"/>
      <c r="P20" s="374" t="s">
        <v>37</v>
      </c>
      <c r="Q20" s="375">
        <f t="shared" ref="Q20:Q21" si="2">Q19</f>
        <v>1.4289323610931841</v>
      </c>
      <c r="R20" s="375">
        <f>R18*4</f>
        <v>4.5215347900080021</v>
      </c>
      <c r="S20" s="376">
        <v>0.7</v>
      </c>
      <c r="T20" s="375">
        <f>Q20+(R20*S20)</f>
        <v>4.5940067140987857</v>
      </c>
      <c r="U20" s="235" t="s">
        <v>37</v>
      </c>
      <c r="V20" s="377">
        <f>T20</f>
        <v>4.5940067140987857</v>
      </c>
      <c r="W20" s="136"/>
      <c r="X20" s="136"/>
    </row>
    <row r="21" spans="1:24" s="1" customFormat="1" ht="60.75" customHeight="1" thickBot="1" x14ac:dyDescent="0.3">
      <c r="A21" s="119" t="s">
        <v>39</v>
      </c>
      <c r="B21" s="120" t="s">
        <v>40</v>
      </c>
      <c r="C21" s="120" t="s">
        <v>479</v>
      </c>
      <c r="D21" s="311" t="s">
        <v>272</v>
      </c>
      <c r="E21" s="311" t="s">
        <v>43</v>
      </c>
      <c r="F21" s="120" t="s">
        <v>273</v>
      </c>
      <c r="G21" s="1212" t="s">
        <v>416</v>
      </c>
      <c r="H21" s="1212"/>
      <c r="I21" s="120" t="s">
        <v>45</v>
      </c>
      <c r="J21" s="312" t="s">
        <v>271</v>
      </c>
      <c r="K21" s="120" t="s">
        <v>47</v>
      </c>
      <c r="L21" s="120" t="s">
        <v>270</v>
      </c>
      <c r="M21" s="317" t="s">
        <v>415</v>
      </c>
      <c r="N21" s="141"/>
      <c r="O21" s="138"/>
      <c r="P21" s="374" t="s">
        <v>38</v>
      </c>
      <c r="Q21" s="375">
        <f t="shared" si="2"/>
        <v>1.4289323610931841</v>
      </c>
      <c r="R21" s="375">
        <f>R18*8</f>
        <v>9.0430695800160041</v>
      </c>
      <c r="S21" s="376">
        <v>0.6</v>
      </c>
      <c r="T21" s="375">
        <f>Q21+(R21*S21)</f>
        <v>6.8547741091027863</v>
      </c>
      <c r="U21" s="235" t="s">
        <v>244</v>
      </c>
      <c r="V21" s="377">
        <f>T21</f>
        <v>6.8547741091027863</v>
      </c>
      <c r="W21" s="138"/>
      <c r="X21" s="138"/>
    </row>
    <row r="22" spans="1:24" ht="60.75" customHeight="1" thickBot="1" x14ac:dyDescent="0.3">
      <c r="A22" s="142" t="s">
        <v>76</v>
      </c>
      <c r="B22" s="143" t="s">
        <v>608</v>
      </c>
      <c r="C22" s="259" t="str">
        <f>VLOOKUP($B22,Activities!$A$10:$P$152,3,FALSE)</f>
        <v>Design/Quantify/Survey Rehabilitation Structures to Specification Standard</v>
      </c>
      <c r="D22" s="239" t="s">
        <v>49</v>
      </c>
      <c r="E22" s="240"/>
      <c r="F22" s="144" t="s">
        <v>50</v>
      </c>
      <c r="G22" s="313"/>
      <c r="H22" s="140" t="s">
        <v>613</v>
      </c>
      <c r="I22" s="273">
        <f>VLOOKUP(H22,X2:Y6,2,FALSE)</f>
        <v>0</v>
      </c>
      <c r="J22" s="269"/>
      <c r="K22" s="390">
        <f t="shared" ref="K22" si="3">IF(D22="Y",IF(J22="",I22*E22,J22*E22),"")</f>
        <v>0</v>
      </c>
      <c r="L22" s="248" t="str">
        <f t="shared" ref="L22" si="4">IFERROR(IF(D22="Y",K22/$K$57,0%),"0.0%")</f>
        <v>0.0%</v>
      </c>
      <c r="M22" s="290" t="str">
        <f>VLOOKUP($B22,Activities!$A$10:$S$152,19,FALSE)</f>
        <v>This item covers the cost of a third party called in to determine the extent of work required and to assess the methodology to complete the work and any other design or planning activities required.</v>
      </c>
      <c r="N22" s="137"/>
      <c r="O22" s="136"/>
      <c r="P22" s="378"/>
      <c r="Q22" s="379"/>
      <c r="R22" s="379"/>
      <c r="S22" s="379"/>
      <c r="T22" s="379"/>
      <c r="U22" s="236" t="s">
        <v>264</v>
      </c>
      <c r="V22" s="380"/>
      <c r="W22" s="136"/>
      <c r="X22" s="136"/>
    </row>
    <row r="23" spans="1:24" ht="15.75" customHeight="1" thickBot="1" x14ac:dyDescent="0.3">
      <c r="A23" s="146" t="s">
        <v>53</v>
      </c>
      <c r="B23" s="147" t="str">
        <f>A22</f>
        <v>Preliminaries</v>
      </c>
      <c r="C23" s="148"/>
      <c r="D23" s="149"/>
      <c r="E23" s="150"/>
      <c r="F23" s="149"/>
      <c r="G23" s="149"/>
      <c r="H23" s="149"/>
      <c r="I23" s="353"/>
      <c r="J23" s="354"/>
      <c r="K23" s="256">
        <f>SUM(K22:K22)</f>
        <v>0</v>
      </c>
      <c r="L23" s="149"/>
      <c r="M23" s="154"/>
      <c r="N23" s="137"/>
      <c r="O23" s="136"/>
      <c r="Q23" s="4"/>
      <c r="R23" s="4"/>
      <c r="S23" s="532"/>
      <c r="T23" s="4"/>
      <c r="V23" s="4"/>
      <c r="W23" s="136"/>
      <c r="X23" s="136"/>
    </row>
    <row r="24" spans="1:24" ht="55.5" customHeight="1" thickBot="1" x14ac:dyDescent="0.3">
      <c r="A24" s="1337" t="s">
        <v>262</v>
      </c>
      <c r="B24" s="217"/>
      <c r="C24" s="295" t="s">
        <v>300</v>
      </c>
      <c r="D24" s="239" t="s">
        <v>49</v>
      </c>
      <c r="E24" s="607"/>
      <c r="F24" s="296"/>
      <c r="G24" s="1269"/>
      <c r="H24" s="1270"/>
      <c r="I24" s="355" t="s">
        <v>475</v>
      </c>
      <c r="J24" s="352"/>
      <c r="K24" s="388">
        <f>IF(D24="Y",J24*E24,"")</f>
        <v>0</v>
      </c>
      <c r="L24" s="145" t="str">
        <f>IFERROR(IF(D24="Y",K24/$K$57,0%),"0.0%")</f>
        <v>0.0%</v>
      </c>
      <c r="M24" s="139" t="s">
        <v>68</v>
      </c>
      <c r="N24" s="137"/>
      <c r="O24" s="136"/>
      <c r="W24" s="136"/>
      <c r="X24" s="136"/>
    </row>
    <row r="25" spans="1:24" ht="55.5" customHeight="1" thickBot="1" x14ac:dyDescent="0.3">
      <c r="A25" s="1359"/>
      <c r="B25" s="217"/>
      <c r="C25" s="295" t="s">
        <v>300</v>
      </c>
      <c r="D25" s="239" t="s">
        <v>49</v>
      </c>
      <c r="E25" s="607"/>
      <c r="F25" s="296"/>
      <c r="G25" s="1269"/>
      <c r="H25" s="1270"/>
      <c r="I25" s="355" t="s">
        <v>475</v>
      </c>
      <c r="J25" s="269"/>
      <c r="K25" s="388">
        <f>IF(D25="Y",J25*E25,"")</f>
        <v>0</v>
      </c>
      <c r="L25" s="145" t="str">
        <f>IFERROR(IF(D25="Y",K25/$K$57,0%),"0.0%")</f>
        <v>0.0%</v>
      </c>
      <c r="M25" s="139" t="s">
        <v>68</v>
      </c>
      <c r="N25" s="137"/>
      <c r="O25" s="136"/>
      <c r="W25" s="136"/>
      <c r="X25" s="136"/>
    </row>
    <row r="26" spans="1:24" ht="15.75" customHeight="1" thickBot="1" x14ac:dyDescent="0.3">
      <c r="A26" s="146" t="s">
        <v>53</v>
      </c>
      <c r="B26" s="147" t="str">
        <f>A24</f>
        <v>Define Any Special Treatments for the Pit</v>
      </c>
      <c r="C26" s="148"/>
      <c r="D26" s="149"/>
      <c r="E26" s="150"/>
      <c r="F26" s="149"/>
      <c r="G26" s="149"/>
      <c r="H26" s="149"/>
      <c r="I26" s="353"/>
      <c r="J26" s="354"/>
      <c r="K26" s="153">
        <f>SUM(K24:K25)</f>
        <v>0</v>
      </c>
      <c r="L26" s="149"/>
      <c r="M26" s="154"/>
      <c r="N26" s="137"/>
    </row>
    <row r="27" spans="1:24" ht="84.75" thickBot="1" x14ac:dyDescent="0.3">
      <c r="A27" s="1333" t="s">
        <v>263</v>
      </c>
      <c r="B27" s="155" t="s">
        <v>87</v>
      </c>
      <c r="C27" s="259" t="str">
        <f>VLOOKUP($B27,Activities!$A$10:$P$152,3,FALSE)</f>
        <v xml:space="preserve">Drill and Blast the top bench to half height </v>
      </c>
      <c r="D27" s="239" t="s">
        <v>49</v>
      </c>
      <c r="E27" s="240"/>
      <c r="F27" s="246" t="str">
        <f>VLOOKUP($B27,Activities!$A$10:$P$152,4,FALSE)</f>
        <v>m3</v>
      </c>
      <c r="G27" s="1269"/>
      <c r="H27" s="1270"/>
      <c r="I27" s="272">
        <f>VLOOKUP($B27,Activities!$A$10:$S$152,16,FALSE)</f>
        <v>3.3924281586577618</v>
      </c>
      <c r="J27" s="269"/>
      <c r="K27" s="388">
        <f t="shared" ref="K27:K29" si="5">IF(D27="Y",IF(J27="",I27*E27,J27*E27),0)</f>
        <v>0</v>
      </c>
      <c r="L27" s="248" t="str">
        <f t="shared" ref="L27:L29" si="6">IFERROR(IF(D27="Y",K27/$K$58,0%),"0.0%")</f>
        <v>0.0%</v>
      </c>
      <c r="M27" s="290" t="str">
        <f>VLOOKUP($B27,Activities!$A$10:$S$152,19,FALSE)</f>
        <v>This activity provides a greater degree of stability by 'rolling over' the top face.  It also provides a better visual impact and it is possible to spread soil or overburden material to assist in vegetation growth.  For remote sites it may not necessarily add significant value and should be assessed in regards to pit stability and visual impacts.  Alternatively it may be possible to excavate this material rather than blast.</v>
      </c>
      <c r="N27" s="137"/>
    </row>
    <row r="28" spans="1:24" ht="48.75" customHeight="1" thickBot="1" x14ac:dyDescent="0.3">
      <c r="A28" s="1334"/>
      <c r="B28" s="155" t="s">
        <v>78</v>
      </c>
      <c r="C28" s="259" t="str">
        <f>VLOOKUP($B28,Activities!$A$10:$P$152,3,FALSE)</f>
        <v xml:space="preserve">Consolidation of loose Stockpiles of Waste and/or Ore </v>
      </c>
      <c r="D28" s="239" t="s">
        <v>49</v>
      </c>
      <c r="E28" s="240"/>
      <c r="F28" s="246" t="str">
        <f>VLOOKUP($B28,Activities!$A$10:$P$152,4,FALSE)</f>
        <v>m3</v>
      </c>
      <c r="G28" s="1269"/>
      <c r="H28" s="1270"/>
      <c r="I28" s="272">
        <f>VLOOKUP($B28,Activities!$A$10:$S$152,16,FALSE)</f>
        <v>3.7418180963331782</v>
      </c>
      <c r="J28" s="269"/>
      <c r="K28" s="388">
        <f t="shared" si="5"/>
        <v>0</v>
      </c>
      <c r="L28" s="248" t="str">
        <f t="shared" si="6"/>
        <v>0.0%</v>
      </c>
      <c r="M28" s="290" t="str">
        <f>VLOOKUP($B28,Activities!$A$10:$S$152,19,FALSE)</f>
        <v>This activity covers the removal of small stockpiles of waste rock, ROM ore and other stockpiles.  These are consolidated into one waste dump for rehabilitation.</v>
      </c>
      <c r="N28" s="137"/>
    </row>
    <row r="29" spans="1:24" ht="48.75" customHeight="1" thickBot="1" x14ac:dyDescent="0.3">
      <c r="A29" s="1334"/>
      <c r="B29" s="143" t="s">
        <v>81</v>
      </c>
      <c r="C29" s="259" t="str">
        <f>VLOOKUP($B29,Activities!$A$10:$P$152,3,FALSE)</f>
        <v>Construction of Berm or Barrier to prevent Access</v>
      </c>
      <c r="D29" s="239" t="s">
        <v>49</v>
      </c>
      <c r="E29" s="240"/>
      <c r="F29" s="246" t="str">
        <f>VLOOKUP($B29,Activities!$A$10:$P$152,4,FALSE)</f>
        <v>Lin m</v>
      </c>
      <c r="G29" s="1269"/>
      <c r="H29" s="1270"/>
      <c r="I29" s="272">
        <f>VLOOKUP($B29,Activities!$A$10:$S$152,16,FALSE)</f>
        <v>56.743935369018423</v>
      </c>
      <c r="J29" s="269"/>
      <c r="K29" s="388">
        <f t="shared" si="5"/>
        <v>0</v>
      </c>
      <c r="L29" s="248" t="str">
        <f t="shared" si="6"/>
        <v>0.0%</v>
      </c>
      <c r="M29" s="290" t="str">
        <f>VLOOKUP($B29,Activities!$A$10:$S$152,19,FALSE)</f>
        <v>The activity covers the construction of a Berm or Barrier to prevent access.  The Barrier is designed to prevent vehicular access and is a significant size to do this.</v>
      </c>
      <c r="N29" s="137"/>
    </row>
    <row r="30" spans="1:24" ht="63" customHeight="1" thickBot="1" x14ac:dyDescent="0.3">
      <c r="A30" s="1334"/>
      <c r="B30" s="614" t="s">
        <v>16</v>
      </c>
      <c r="C30" s="259" t="str">
        <f>VLOOKUP($B30,Activities!$A$10:$P$152,3,FALSE)</f>
        <v>Load and haul of mined, processed, stockpiled materials or topsoil</v>
      </c>
      <c r="D30" s="239" t="s">
        <v>49</v>
      </c>
      <c r="E30" s="240"/>
      <c r="F30" s="246" t="str">
        <f>VLOOKUP($B30,Activities!$A$10:$P$152,4,FALSE)</f>
        <v>m3</v>
      </c>
      <c r="G30" s="313" t="s">
        <v>51</v>
      </c>
      <c r="H30" s="140" t="s">
        <v>264</v>
      </c>
      <c r="I30" s="272">
        <f>VLOOKUP(H30,U3:V7,2)</f>
        <v>0</v>
      </c>
      <c r="J30" s="612"/>
      <c r="K30" s="613">
        <f>IF(D30="Y",IF(J30="",I30*E30,J30*E30),"")</f>
        <v>0</v>
      </c>
      <c r="L30" s="248" t="str">
        <f>IFERROR(IF(D30="Y",K30/$K$66,0%),"0.0%")</f>
        <v>0.0%</v>
      </c>
      <c r="M30" s="290" t="str">
        <f>VLOOKUP($B30,Activities!$A$10:$S$152,19,FALSE)</f>
        <v>This activity involves loading into a truck of material previously mined, processed material or topsoil, and hauling a selected distance.</v>
      </c>
      <c r="N30" s="233"/>
      <c r="P30" s="1"/>
      <c r="Q30" s="1"/>
      <c r="R30" s="1"/>
      <c r="S30" s="1"/>
      <c r="T30" s="1"/>
      <c r="U30" s="1"/>
      <c r="V30" s="1"/>
    </row>
    <row r="31" spans="1:24" ht="63" customHeight="1" thickBot="1" x14ac:dyDescent="0.3">
      <c r="A31" s="1334"/>
      <c r="B31" s="143" t="s">
        <v>17</v>
      </c>
      <c r="C31" s="259" t="str">
        <f>VLOOKUP($B31,Activities!$A$10:$P$152,3,FALSE)</f>
        <v xml:space="preserve">Excavation of earthen materials from local borrow pits, plus haulage </v>
      </c>
      <c r="D31" s="239" t="s">
        <v>49</v>
      </c>
      <c r="E31" s="346"/>
      <c r="F31" s="246" t="str">
        <f>VLOOKUP($B31,Activities!$A$10:$P$152,4,FALSE)</f>
        <v>m3</v>
      </c>
      <c r="G31" s="313" t="s">
        <v>635</v>
      </c>
      <c r="H31" s="140" t="s">
        <v>264</v>
      </c>
      <c r="I31" s="272">
        <f>VLOOKUP(H31,U10:V14,2)</f>
        <v>0</v>
      </c>
      <c r="J31" s="269"/>
      <c r="K31" s="390">
        <f t="shared" ref="K31" si="7">IF(D31="Y",IF(J31="",I31*E31,J31*E31),"")</f>
        <v>0</v>
      </c>
      <c r="L31" s="145" t="str">
        <f t="shared" ref="L31" si="8">IFERROR(IF(D31="Y",K31/$K$57,0%),"0.0%")</f>
        <v>0.0%</v>
      </c>
      <c r="M31" s="290" t="str">
        <f>VLOOKUP($B31,Activities!$A$10:$S$152,19,FALSE)</f>
        <v>This activity involves the excavation of earthern material from a local borrow pit and the loading of that material into a truck.  Haulage cost based on distance hauled.</v>
      </c>
      <c r="N31" s="137"/>
      <c r="O31" s="47"/>
    </row>
    <row r="32" spans="1:24" ht="54" customHeight="1" thickBot="1" x14ac:dyDescent="0.3">
      <c r="A32" s="1334"/>
      <c r="B32" s="143" t="s">
        <v>18</v>
      </c>
      <c r="C32" s="259" t="str">
        <f>VLOOKUP($B32,Activities!$A$10:$P$152,3,FALSE)</f>
        <v>Spreading Materials on ground or an open area excluding compaction (&gt;1,000m3)</v>
      </c>
      <c r="D32" s="239" t="s">
        <v>49</v>
      </c>
      <c r="E32" s="240"/>
      <c r="F32" s="246" t="str">
        <f>VLOOKUP($B32,Activities!$A$10:$P$152,4,FALSE)</f>
        <v>m3</v>
      </c>
      <c r="G32" s="1269"/>
      <c r="H32" s="1270"/>
      <c r="I32" s="272">
        <f>VLOOKUP($B32,Activities!$A$10:$S$152,16,FALSE)</f>
        <v>1.0890037105820705</v>
      </c>
      <c r="J32" s="269"/>
      <c r="K32" s="388">
        <f t="shared" ref="K32:K37" si="9">IF(D32="Y",IF(J32="",I32*E32,J32*E32),0)</f>
        <v>0</v>
      </c>
      <c r="L32" s="248" t="str">
        <f t="shared" ref="L32:L37" si="10">IFERROR(IF(D32="Y",K32/$K$58,0%),"0.0%")</f>
        <v>0.0%</v>
      </c>
      <c r="M32" s="290" t="str">
        <f>VLOOKUP($B32,Activities!$A$10:$S$152,19,FALSE)</f>
        <v xml:space="preserve">This activity involves the spreading of material that has been transported and dumped at the work area. </v>
      </c>
      <c r="N32" s="137"/>
      <c r="O32" s="47"/>
    </row>
    <row r="33" spans="1:22" ht="54" customHeight="1" thickBot="1" x14ac:dyDescent="0.3">
      <c r="A33" s="1334"/>
      <c r="B33" s="245" t="s">
        <v>79</v>
      </c>
      <c r="C33" s="259" t="str">
        <f>VLOOKUP($B33,Activities!$A$10:$P$152,3,FALSE)</f>
        <v>Minor Shaping across a Dump or Disturbed Area</v>
      </c>
      <c r="D33" s="239" t="s">
        <v>49</v>
      </c>
      <c r="E33" s="240"/>
      <c r="F33" s="246" t="str">
        <f>VLOOKUP($B33,Activities!$A$10:$P$152,4,FALSE)</f>
        <v>Ha</v>
      </c>
      <c r="G33" s="1269"/>
      <c r="H33" s="1270"/>
      <c r="I33" s="273">
        <f>VLOOKUP($B33,Activities!$A$10:$S$152,16,FALSE)</f>
        <v>2987.2221197728068</v>
      </c>
      <c r="J33" s="269"/>
      <c r="K33" s="390">
        <f t="shared" si="9"/>
        <v>0</v>
      </c>
      <c r="L33" s="248" t="str">
        <f t="shared" si="10"/>
        <v>0.0%</v>
      </c>
      <c r="M33" s="290" t="str">
        <f>VLOOKUP($B33,Activities!$A$10:$S$152,19,FALSE)</f>
        <v xml:space="preserve">This activity covers minor shaping shifting pushing across a dump or disturbed area.  It is based on a rate per hectare.  It covers area where there needs to be some clearing work, tidying up of disturbed ground,  but not just bulk pushing </v>
      </c>
      <c r="N33" s="233"/>
      <c r="O33" s="47"/>
      <c r="P33" s="233"/>
      <c r="Q33" s="233"/>
      <c r="R33" s="233"/>
      <c r="S33" s="233"/>
      <c r="T33" s="233"/>
      <c r="U33" s="233"/>
      <c r="V33" s="233"/>
    </row>
    <row r="34" spans="1:22" ht="54" customHeight="1" thickBot="1" x14ac:dyDescent="0.3">
      <c r="A34" s="1334"/>
      <c r="B34" s="102" t="s">
        <v>13</v>
      </c>
      <c r="C34" s="259" t="str">
        <f>VLOOKUP($B34,Activities!$A$10:$P$152,3,FALSE)</f>
        <v>Major Bulk Pushing/Dozing to achieve Final Land Forms</v>
      </c>
      <c r="D34" s="239" t="s">
        <v>49</v>
      </c>
      <c r="E34" s="240"/>
      <c r="F34" s="246" t="str">
        <f>VLOOKUP($B34,Activities!$A$10:$P$152,4,FALSE)</f>
        <v>m3</v>
      </c>
      <c r="G34" s="1269"/>
      <c r="H34" s="1270"/>
      <c r="I34" s="272">
        <f>VLOOKUP($B34,Activities!$A$10:$S$152,16,FALSE)</f>
        <v>0.96390609627070267</v>
      </c>
      <c r="J34" s="269"/>
      <c r="K34" s="388">
        <f t="shared" si="9"/>
        <v>0</v>
      </c>
      <c r="L34" s="248" t="str">
        <f t="shared" si="10"/>
        <v>0.0%</v>
      </c>
      <c r="M34" s="290" t="str">
        <f>VLOOKUP($B34,Activities!$A$10:$S$152,19,FALSE)</f>
        <v>This unit cost covers the use of a dozer to push material within reasonable confines to achieve a Final Land Form.  It is often undertaken prior to covering a tailing storage facility</v>
      </c>
      <c r="N34" s="233"/>
      <c r="O34" s="47"/>
      <c r="P34" s="136"/>
      <c r="Q34" s="136"/>
      <c r="R34" s="136"/>
      <c r="S34" s="136"/>
      <c r="T34" s="136"/>
      <c r="U34" s="136"/>
      <c r="V34" s="136"/>
    </row>
    <row r="35" spans="1:22" ht="96.75" thickBot="1" x14ac:dyDescent="0.3">
      <c r="A35" s="1334"/>
      <c r="B35" s="155" t="s">
        <v>80</v>
      </c>
      <c r="C35" s="259" t="str">
        <f>VLOOKUP($B35,Activities!$A$10:$P$152,3,FALSE)</f>
        <v>Construction of Water Run-off Management Structures and/or Dams</v>
      </c>
      <c r="D35" s="239" t="s">
        <v>49</v>
      </c>
      <c r="E35" s="240"/>
      <c r="F35" s="246" t="str">
        <f>VLOOKUP($B35,Activities!$A$10:$P$152,4,FALSE)</f>
        <v>Ha</v>
      </c>
      <c r="G35" s="1269"/>
      <c r="H35" s="1270"/>
      <c r="I35" s="273">
        <f>VLOOKUP($B35,Activities!$A$10:$S$152,16,FALSE)</f>
        <v>7806.9613461745139</v>
      </c>
      <c r="J35" s="269"/>
      <c r="K35" s="388">
        <f t="shared" si="9"/>
        <v>0</v>
      </c>
      <c r="L35" s="248" t="str">
        <f t="shared" si="10"/>
        <v>0.0%</v>
      </c>
      <c r="M35" s="290" t="str">
        <f>VLOOKUP($B35,Activities!$A$10:$S$152,19,FALSE)</f>
        <v>This activity is a general activity and it involves shaping of critical areas, the construction of minor water management drains, rock lining of the drains, dams and diversion channels to manage water run-off from the area. It is based on a rate per hectare (based only on the hectares associated with the run-off management) and includes channel excavation, rock lining and minor dam construction.  (Operator may prefer to better define this activity)</v>
      </c>
      <c r="N35" s="137"/>
    </row>
    <row r="36" spans="1:22" ht="54" customHeight="1" thickBot="1" x14ac:dyDescent="0.3">
      <c r="A36" s="156"/>
      <c r="B36" s="155" t="s">
        <v>92</v>
      </c>
      <c r="C36" s="259" t="str">
        <f>VLOOKUP($B36,Activities!$A$10:$P$152,3,FALSE)</f>
        <v xml:space="preserve">Construction of a 6' chain mesh security fience around the perimeter </v>
      </c>
      <c r="D36" s="239" t="s">
        <v>49</v>
      </c>
      <c r="E36" s="240"/>
      <c r="F36" s="246" t="str">
        <f>VLOOKUP($B36,Activities!$A$10:$P$152,4,FALSE)</f>
        <v>km</v>
      </c>
      <c r="G36" s="1269"/>
      <c r="H36" s="1270"/>
      <c r="I36" s="273">
        <f>VLOOKUP($B36,Activities!$A$10:$S$152,16,FALSE)</f>
        <v>78632.004774033849</v>
      </c>
      <c r="J36" s="269"/>
      <c r="K36" s="388">
        <f t="shared" si="9"/>
        <v>0</v>
      </c>
      <c r="L36" s="248" t="str">
        <f t="shared" si="10"/>
        <v>0.0%</v>
      </c>
      <c r="M36" s="290" t="str">
        <f>VLOOKUP($B36,Activities!$A$10:$S$152,19,FALSE)</f>
        <v>This activity involves the construction of a chain mesh security fence to restrict and prevent access.   It includes an allowance for gates.</v>
      </c>
      <c r="N36" s="137"/>
    </row>
    <row r="37" spans="1:22" ht="60.75" thickBot="1" x14ac:dyDescent="0.3">
      <c r="A37" s="156"/>
      <c r="B37" s="155" t="s">
        <v>25</v>
      </c>
      <c r="C37" s="259" t="str">
        <f>VLOOKUP($B37,Activities!$A$10:$P$152,3,FALSE)</f>
        <v xml:space="preserve">Construction of a stock proof fence including appropriate gates </v>
      </c>
      <c r="D37" s="239" t="s">
        <v>49</v>
      </c>
      <c r="E37" s="240"/>
      <c r="F37" s="246" t="str">
        <f>VLOOKUP($B37,Activities!$A$10:$P$152,4,FALSE)</f>
        <v>km</v>
      </c>
      <c r="G37" s="1269"/>
      <c r="H37" s="1270"/>
      <c r="I37" s="273">
        <f>VLOOKUP($B37,Activities!$A$10:$S$152,16,FALSE)</f>
        <v>13302.992584007126</v>
      </c>
      <c r="J37" s="269"/>
      <c r="K37" s="388">
        <f t="shared" si="9"/>
        <v>0</v>
      </c>
      <c r="L37" s="248" t="str">
        <f t="shared" si="10"/>
        <v>0.0%</v>
      </c>
      <c r="M37" s="290" t="str">
        <f>VLOOKUP($B37,Activities!$A$10:$S$152,19,FALSE)</f>
        <v>This activity involves the construction of a stock proof fence to protect revegetation against stock and to provide an obstacle to persons to prevent inadvertant access.  It is not designed to prevent a person climbing over it.  It includes an allowance for gates.</v>
      </c>
      <c r="N37" s="137"/>
    </row>
    <row r="38" spans="1:22" ht="16.5" thickBot="1" x14ac:dyDescent="0.3">
      <c r="A38" s="146" t="s">
        <v>53</v>
      </c>
      <c r="B38" s="147" t="str">
        <f>A27</f>
        <v>Primary Earthworks and Shaping of the Pit</v>
      </c>
      <c r="C38" s="148"/>
      <c r="D38" s="149"/>
      <c r="E38" s="150"/>
      <c r="F38" s="149"/>
      <c r="G38" s="149"/>
      <c r="H38" s="149"/>
      <c r="I38" s="353"/>
      <c r="J38" s="354"/>
      <c r="K38" s="153">
        <f>SUM(K27:K37)</f>
        <v>0</v>
      </c>
      <c r="L38" s="149"/>
      <c r="M38" s="154"/>
      <c r="N38" s="137"/>
    </row>
    <row r="39" spans="1:22" ht="48" customHeight="1" thickBot="1" x14ac:dyDescent="0.3">
      <c r="A39" s="1333" t="s">
        <v>490</v>
      </c>
      <c r="B39" s="143" t="s">
        <v>70</v>
      </c>
      <c r="C39" s="259" t="str">
        <f>VLOOKUP($B39,Activities!$A$10:$P$152,3,FALSE)</f>
        <v>Sourcing, Carting and Spreading of Topsoil over an Area</v>
      </c>
      <c r="D39" s="239" t="s">
        <v>49</v>
      </c>
      <c r="E39" s="346"/>
      <c r="F39" s="246" t="str">
        <f>VLOOKUP($B39,Activities!$A$10:$P$152,4,FALSE)</f>
        <v>m3</v>
      </c>
      <c r="G39" s="833" t="s">
        <v>1205</v>
      </c>
      <c r="H39" s="140" t="s">
        <v>264</v>
      </c>
      <c r="I39" s="272">
        <f>VLOOKUP(H39,U18:V22,2)</f>
        <v>0</v>
      </c>
      <c r="J39" s="351"/>
      <c r="K39" s="398">
        <f>IF(D39="Y",IF(J39="",I39*E39,J39*E39),"")</f>
        <v>0</v>
      </c>
      <c r="L39" s="145" t="str">
        <f>IFERROR(IF(D39="Y",K39/$K$57,0%),"0.0%")</f>
        <v>0.0%</v>
      </c>
      <c r="M39" s="290" t="str">
        <f>VLOOKUP($B39,Activities!$A$10:$S$152,19,FALSE)</f>
        <v>This activity covers the sourcing of topsoil or suitable growth medium, transporting from the source to the required area and then spreading it over that area.</v>
      </c>
      <c r="N39" s="137"/>
    </row>
    <row r="40" spans="1:22" ht="52.5" customHeight="1" thickBot="1" x14ac:dyDescent="0.3">
      <c r="A40" s="1334"/>
      <c r="B40" s="245" t="s">
        <v>21</v>
      </c>
      <c r="C40" s="259" t="str">
        <f>VLOOKUP($B40,Activities!$A$10:$P$152,3,FALSE)</f>
        <v>Scarification to promote vegetation growth</v>
      </c>
      <c r="D40" s="239" t="s">
        <v>49</v>
      </c>
      <c r="E40" s="240"/>
      <c r="F40" s="246" t="str">
        <f>VLOOKUP($B40,Activities!$A$10:$P$152,4,FALSE)</f>
        <v>Ha</v>
      </c>
      <c r="G40" s="1160"/>
      <c r="H40" s="1161"/>
      <c r="I40" s="273">
        <f>VLOOKUP($B40,Activities!$A$10:$S$152,16,FALSE)</f>
        <v>323.54530924221694</v>
      </c>
      <c r="J40" s="269"/>
      <c r="K40" s="390">
        <f t="shared" ref="K40" si="11">IF(D40="Y",IF(J40="",I40*E40,J40*E40),0)</f>
        <v>0</v>
      </c>
      <c r="L40" s="248" t="str">
        <f t="shared" ref="L40" si="12">IFERROR(IF(D40="Y",K40/$K$59,0%),"0.0%")</f>
        <v>0.0%</v>
      </c>
      <c r="M40" s="290" t="str">
        <f>VLOOKUP($B40,Activities!$A$10:$S$152,19,FALSE)</f>
        <v xml:space="preserve">This activity is undertaken in preparation for the seeding of a particular area.  </v>
      </c>
      <c r="N40" s="137"/>
    </row>
    <row r="41" spans="1:22" ht="52.5" customHeight="1" thickBot="1" x14ac:dyDescent="0.3">
      <c r="A41" s="1334"/>
      <c r="B41" s="245" t="s">
        <v>626</v>
      </c>
      <c r="C41" s="259" t="str">
        <f>VLOOKUP($B41,Activities!$A$10:$P$152,3,FALSE)</f>
        <v>Purchase and single application of ground ameliorants (e.g. gypsum)</v>
      </c>
      <c r="D41" s="239" t="s">
        <v>49</v>
      </c>
      <c r="E41" s="320"/>
      <c r="F41" s="246" t="str">
        <f>VLOOKUP($B41,Activities!$A$10:$P$152,4,FALSE)</f>
        <v>Ha</v>
      </c>
      <c r="G41" s="1269"/>
      <c r="H41" s="1270"/>
      <c r="I41" s="273">
        <f>VLOOKUP($B41,Activities!$A$10:$S$152,16,FALSE)</f>
        <v>877.38983538153695</v>
      </c>
      <c r="J41" s="269"/>
      <c r="K41" s="388">
        <f t="shared" ref="K41:K49" si="13">IF(D41="Y",IF(J41="",I41*E41,J41*E41),0)</f>
        <v>0</v>
      </c>
      <c r="L41" s="248" t="str">
        <f t="shared" ref="L41:L49" si="14">IFERROR(IF(D41="Y",K41/$K$59,0%),"0.0%")</f>
        <v>0.0%</v>
      </c>
      <c r="M41" s="290" t="str">
        <f>VLOOKUP($B41,Activities!$A$10:$S$152,19,FALSE)</f>
        <v>This Activity includes the purchase and single application of ground ameliorants (e.g. gypsum).</v>
      </c>
      <c r="N41" s="137"/>
      <c r="P41" s="47"/>
      <c r="Q41" s="47"/>
      <c r="R41" s="47"/>
      <c r="S41" s="47"/>
    </row>
    <row r="42" spans="1:22" ht="52.5" customHeight="1" thickBot="1" x14ac:dyDescent="0.3">
      <c r="A42" s="1334"/>
      <c r="B42" s="245" t="s">
        <v>627</v>
      </c>
      <c r="C42" s="259" t="str">
        <f>VLOOKUP($B42,Activities!$A$10:$P$152,3,FALSE)</f>
        <v>The purchase only of non-native pasture grasses</v>
      </c>
      <c r="D42" s="239" t="s">
        <v>49</v>
      </c>
      <c r="E42" s="320"/>
      <c r="F42" s="246" t="str">
        <f>VLOOKUP($B42,Activities!$A$10:$P$152,4,FALSE)</f>
        <v>Ha</v>
      </c>
      <c r="G42" s="1269"/>
      <c r="H42" s="1270"/>
      <c r="I42" s="273">
        <f>VLOOKUP($B42,Activities!$A$10:$S$152,16,FALSE)</f>
        <v>1774.5180283018869</v>
      </c>
      <c r="J42" s="269"/>
      <c r="K42" s="388">
        <f t="shared" si="13"/>
        <v>0</v>
      </c>
      <c r="L42" s="248" t="str">
        <f t="shared" si="14"/>
        <v>0.0%</v>
      </c>
      <c r="M42" s="290" t="str">
        <f>VLOOKUP($B42,Activities!$A$10:$S$152,19,FALSE)</f>
        <v>This activity covers the purchase of non-native pasture grasses</v>
      </c>
      <c r="N42" s="233"/>
    </row>
    <row r="43" spans="1:22" ht="51" customHeight="1" thickBot="1" x14ac:dyDescent="0.3">
      <c r="A43" s="1334"/>
      <c r="B43" s="245" t="s">
        <v>628</v>
      </c>
      <c r="C43" s="259" t="str">
        <f>VLOOKUP($B43,Activities!$A$10:$P$152,3,FALSE)</f>
        <v>The purchase only of general native seed mix</v>
      </c>
      <c r="D43" s="239" t="s">
        <v>49</v>
      </c>
      <c r="E43" s="320"/>
      <c r="F43" s="246" t="str">
        <f>VLOOKUP($B43,Activities!$A$10:$P$152,4,FALSE)</f>
        <v>Ha</v>
      </c>
      <c r="G43" s="1269"/>
      <c r="H43" s="1270"/>
      <c r="I43" s="273">
        <f>VLOOKUP($B43,Activities!$A$10:$S$152,16,FALSE)</f>
        <v>3439.8717452830197</v>
      </c>
      <c r="J43" s="269"/>
      <c r="K43" s="388">
        <f t="shared" si="13"/>
        <v>0</v>
      </c>
      <c r="L43" s="248" t="str">
        <f t="shared" si="14"/>
        <v>0.0%</v>
      </c>
      <c r="M43" s="290" t="str">
        <f>VLOOKUP($B43,Activities!$A$10:$S$152,19,FALSE)</f>
        <v>This activity covers the purchase of general native seed mix</v>
      </c>
      <c r="N43" s="233"/>
    </row>
    <row r="44" spans="1:22" ht="52.5" customHeight="1" thickBot="1" x14ac:dyDescent="0.3">
      <c r="A44" s="1334"/>
      <c r="B44" s="245" t="s">
        <v>629</v>
      </c>
      <c r="C44" s="259" t="str">
        <f>VLOOKUP($B44,Activities!$A$10:$P$152,3,FALSE)</f>
        <v>The purchase only of local provenance native seed mix</v>
      </c>
      <c r="D44" s="239" t="s">
        <v>49</v>
      </c>
      <c r="E44" s="320"/>
      <c r="F44" s="246" t="str">
        <f>VLOOKUP($B44,Activities!$A$10:$P$152,4,FALSE)</f>
        <v>Ha</v>
      </c>
      <c r="G44" s="1269"/>
      <c r="H44" s="1270"/>
      <c r="I44" s="273">
        <f>VLOOKUP($B44,Activities!$A$10:$S$152,16,FALSE)</f>
        <v>10525.680933962265</v>
      </c>
      <c r="J44" s="269"/>
      <c r="K44" s="388">
        <f t="shared" si="13"/>
        <v>0</v>
      </c>
      <c r="L44" s="248" t="str">
        <f t="shared" si="14"/>
        <v>0.0%</v>
      </c>
      <c r="M44" s="290" t="str">
        <f>VLOOKUP($B44,Activities!$A$10:$S$152,19,FALSE)</f>
        <v>This activity covers the purchase of local provenance native seed mix</v>
      </c>
      <c r="N44" s="233"/>
    </row>
    <row r="45" spans="1:22" ht="52.5" customHeight="1" thickBot="1" x14ac:dyDescent="0.3">
      <c r="A45" s="1334"/>
      <c r="B45" s="245" t="s">
        <v>630</v>
      </c>
      <c r="C45" s="259" t="str">
        <f>VLOOKUP($B45,Activities!$A$10:$P$152,3,FALSE)</f>
        <v>The purchase only of fertiliser for broadcast application</v>
      </c>
      <c r="D45" s="239" t="s">
        <v>49</v>
      </c>
      <c r="E45" s="320"/>
      <c r="F45" s="246" t="str">
        <f>VLOOKUP($B45,Activities!$A$10:$P$152,4,FALSE)</f>
        <v>Ha</v>
      </c>
      <c r="G45" s="1269"/>
      <c r="H45" s="1270"/>
      <c r="I45" s="273">
        <f>VLOOKUP($B45,Activities!$A$10:$S$152,16,FALSE)</f>
        <v>613.30500000000006</v>
      </c>
      <c r="J45" s="269"/>
      <c r="K45" s="388">
        <f t="shared" si="13"/>
        <v>0</v>
      </c>
      <c r="L45" s="248" t="str">
        <f t="shared" si="14"/>
        <v>0.0%</v>
      </c>
      <c r="M45" s="290" t="str">
        <f>VLOOKUP($B45,Activities!$A$10:$S$152,19,FALSE)</f>
        <v>This activity covers the purchase of local fertiliser for broadcast application.  It does not inlcude the application.</v>
      </c>
      <c r="N45" s="233"/>
    </row>
    <row r="46" spans="1:22" ht="52.5" customHeight="1" thickBot="1" x14ac:dyDescent="0.3">
      <c r="A46" s="1334"/>
      <c r="B46" s="245" t="s">
        <v>631</v>
      </c>
      <c r="C46" s="259" t="str">
        <f>VLOOKUP($B46,Activities!$A$10:$P$152,3,FALSE)</f>
        <v>The purchase of native tubestock (including slow release fertiliser)</v>
      </c>
      <c r="D46" s="239" t="s">
        <v>49</v>
      </c>
      <c r="E46" s="320"/>
      <c r="F46" s="246" t="str">
        <f>VLOOKUP($B46,Activities!$A$10:$P$152,4,FALSE)</f>
        <v>Ha</v>
      </c>
      <c r="G46" s="1269"/>
      <c r="H46" s="1270"/>
      <c r="I46" s="273">
        <f>VLOOKUP($B46,Activities!$A$10:$S$152,16,FALSE)</f>
        <v>19729.952830188682</v>
      </c>
      <c r="J46" s="269"/>
      <c r="K46" s="388">
        <f t="shared" si="13"/>
        <v>0</v>
      </c>
      <c r="L46" s="248" t="str">
        <f t="shared" si="14"/>
        <v>0.0%</v>
      </c>
      <c r="M46" s="290" t="str">
        <f>VLOOKUP($B46,Activities!$A$10:$S$152,19,FALSE)</f>
        <v>The Activity includes the purchase of native tubestock (including slow release fertiliser).  It does not include planting.</v>
      </c>
      <c r="N46" s="233"/>
    </row>
    <row r="47" spans="1:22" ht="52.5" customHeight="1" thickBot="1" x14ac:dyDescent="0.3">
      <c r="A47" s="1334"/>
      <c r="B47" s="245" t="s">
        <v>632</v>
      </c>
      <c r="C47" s="259" t="str">
        <f>VLOOKUP($B47,Activities!$A$10:$P$152,3,FALSE)</f>
        <v>Direct seeding along rip line or mechanical broadcast seeding</v>
      </c>
      <c r="D47" s="239" t="s">
        <v>49</v>
      </c>
      <c r="E47" s="320"/>
      <c r="F47" s="246" t="str">
        <f>VLOOKUP($B47,Activities!$A$10:$P$152,4,FALSE)</f>
        <v>Ha</v>
      </c>
      <c r="G47" s="1269"/>
      <c r="H47" s="1270"/>
      <c r="I47" s="273">
        <f>VLOOKUP($B47,Activities!$A$10:$S$152,16,FALSE)</f>
        <v>2100.7838269402318</v>
      </c>
      <c r="J47" s="269"/>
      <c r="K47" s="388">
        <f t="shared" si="13"/>
        <v>0</v>
      </c>
      <c r="L47" s="248" t="str">
        <f t="shared" si="14"/>
        <v>0.0%</v>
      </c>
      <c r="M47" s="290" t="str">
        <f>VLOOKUP($B47,Activities!$A$10:$S$152,19,FALSE)</f>
        <v>Sowing of separately purchased seed and or fertiliser for broadcast application that involves scattering seed, by hand or mechanically, over a relatively large area.</v>
      </c>
      <c r="N47" s="233"/>
    </row>
    <row r="48" spans="1:22" ht="52.5" customHeight="1" thickBot="1" x14ac:dyDescent="0.3">
      <c r="A48" s="1334"/>
      <c r="B48" s="245" t="s">
        <v>633</v>
      </c>
      <c r="C48" s="259" t="str">
        <f>VLOOKUP($B48,Activities!$A$10:$P$152,3,FALSE)</f>
        <v>Hydromulching (does not include seed or fertiliser)</v>
      </c>
      <c r="D48" s="239" t="s">
        <v>49</v>
      </c>
      <c r="E48" s="240"/>
      <c r="F48" s="246" t="str">
        <f>VLOOKUP($B48,Activities!$A$10:$P$152,4,FALSE)</f>
        <v>Ha</v>
      </c>
      <c r="G48" s="1269"/>
      <c r="H48" s="1270"/>
      <c r="I48" s="273">
        <f>VLOOKUP($B48,Activities!$A$10:$S$152,16,FALSE)</f>
        <v>1583.2664818030244</v>
      </c>
      <c r="J48" s="269"/>
      <c r="K48" s="388">
        <f t="shared" si="13"/>
        <v>0</v>
      </c>
      <c r="L48" s="248" t="str">
        <f t="shared" si="14"/>
        <v>0.0%</v>
      </c>
      <c r="M48" s="290" t="str">
        <f>VLOOKUP($B48,Activities!$A$10:$S$152,19,FALSE)</f>
        <v>Hydromulching planting process that uses a slurry of seed and mulch. It is often used as an erosion control technique as an alternative to the traditional process of broadcasting or sowing dry seed.</v>
      </c>
      <c r="N48" s="233"/>
    </row>
    <row r="49" spans="1:14" ht="52.5" customHeight="1" thickBot="1" x14ac:dyDescent="0.3">
      <c r="A49" s="1334"/>
      <c r="B49" s="245" t="s">
        <v>717</v>
      </c>
      <c r="C49" s="259" t="str">
        <f>VLOOKUP($B49,Activities!$A$10:$P$152,3,FALSE)</f>
        <v>Planting of tubestock &lt;15cm (assumes 1,000 plants per hectare)</v>
      </c>
      <c r="D49" s="239" t="s">
        <v>49</v>
      </c>
      <c r="E49" s="240"/>
      <c r="F49" s="246" t="str">
        <f>VLOOKUP($B49,Activities!$A$10:$P$152,4,FALSE)</f>
        <v>Ha</v>
      </c>
      <c r="G49" s="1269"/>
      <c r="H49" s="1270"/>
      <c r="I49" s="273">
        <f>VLOOKUP($B49,Activities!$A$10:$S$152,16,FALSE)</f>
        <v>1714.118869047619</v>
      </c>
      <c r="J49" s="269"/>
      <c r="K49" s="388">
        <f t="shared" si="13"/>
        <v>0</v>
      </c>
      <c r="L49" s="248" t="str">
        <f t="shared" si="14"/>
        <v>0.0%</v>
      </c>
      <c r="M49" s="290" t="str">
        <f>VLOOKUP($B49,Activities!$A$10:$S$152,19,FALSE)</f>
        <v>This Activity covers the hand planting of tubestock plants across a broad area.</v>
      </c>
      <c r="N49" s="233"/>
    </row>
    <row r="50" spans="1:14" ht="15.75" customHeight="1" thickBot="1" x14ac:dyDescent="0.3">
      <c r="A50" s="146" t="s">
        <v>53</v>
      </c>
      <c r="B50" s="147" t="str">
        <f>A39</f>
        <v>Topsoil Preparation and Revegetation of the Area</v>
      </c>
      <c r="C50" s="148"/>
      <c r="D50" s="149"/>
      <c r="E50" s="150"/>
      <c r="F50" s="149"/>
      <c r="G50" s="252"/>
      <c r="H50" s="252"/>
      <c r="I50" s="353"/>
      <c r="J50" s="354"/>
      <c r="K50" s="153">
        <f>SUM(K39:K49)</f>
        <v>0</v>
      </c>
      <c r="L50" s="149"/>
      <c r="M50" s="154"/>
      <c r="N50" s="137"/>
    </row>
    <row r="51" spans="1:14" ht="96.75" thickBot="1" x14ac:dyDescent="0.3">
      <c r="A51" s="1333" t="s">
        <v>491</v>
      </c>
      <c r="B51" s="245" t="s">
        <v>451</v>
      </c>
      <c r="C51" s="259" t="str">
        <f>VLOOKUP($B51,Activities!$A$10:$P$152,3,FALSE)</f>
        <v>Construction of Water Diversion Channels/Drains</v>
      </c>
      <c r="D51" s="239" t="s">
        <v>49</v>
      </c>
      <c r="E51" s="240"/>
      <c r="F51" s="246" t="str">
        <f>VLOOKUP($B51,Activities!$A$10:$P$152,4,FALSE)</f>
        <v>lin m</v>
      </c>
      <c r="G51" s="1269"/>
      <c r="H51" s="1270"/>
      <c r="I51" s="272">
        <f>VLOOKUP($B51,Activities!$A$10:$S$152,16,FALSE)</f>
        <v>99.880946449499689</v>
      </c>
      <c r="J51" s="269"/>
      <c r="K51" s="388">
        <f t="shared" ref="K51" si="15">IF(D51="Y",IF(J51="",I51*E51,J51*E51),0)</f>
        <v>0</v>
      </c>
      <c r="L51" s="248" t="str">
        <f t="shared" ref="L51" si="16">IFERROR(IF(D51="Y",K51/$K$59,0%),"0.0%")</f>
        <v>0.0%</v>
      </c>
      <c r="M51" s="290" t="str">
        <f>VLOOKUP($B51,Activities!$A$10:$S$152,19,FALSE)</f>
        <v xml:space="preserve">The activity covers the occasions when it is necessary to construct a diversion channel to either divert water away from an area or to channel water from one area to another.  The assumption is that the level of water flowing through the channel is limited rather than a creek flow or major outflow.  Some allowance has been made for the incorporation of minor rock or velocity limiting structures but not major spillways or energy dissipaters. </v>
      </c>
      <c r="N51" s="233"/>
    </row>
    <row r="52" spans="1:14" ht="47.25" customHeight="1" thickBot="1" x14ac:dyDescent="0.3">
      <c r="A52" s="1334"/>
      <c r="B52" s="217"/>
      <c r="C52" s="218" t="s">
        <v>55</v>
      </c>
      <c r="D52" s="239" t="s">
        <v>49</v>
      </c>
      <c r="E52" s="346"/>
      <c r="F52" s="296"/>
      <c r="G52" s="1269"/>
      <c r="H52" s="1270"/>
      <c r="I52" s="355" t="s">
        <v>475</v>
      </c>
      <c r="J52" s="269"/>
      <c r="K52" s="390">
        <f>IF(D52="Y",J52*E52,"")</f>
        <v>0</v>
      </c>
      <c r="L52" s="145" t="str">
        <f>IFERROR(IF(D52="Y",K52/$K$57,0%),"0.0%")</f>
        <v>0.0%</v>
      </c>
      <c r="M52" s="139" t="s">
        <v>56</v>
      </c>
      <c r="N52" s="137"/>
    </row>
    <row r="53" spans="1:14" ht="47.25" customHeight="1" thickBot="1" x14ac:dyDescent="0.3">
      <c r="A53" s="1334"/>
      <c r="B53" s="217"/>
      <c r="C53" s="218" t="s">
        <v>55</v>
      </c>
      <c r="D53" s="239" t="s">
        <v>49</v>
      </c>
      <c r="E53" s="346"/>
      <c r="F53" s="296"/>
      <c r="G53" s="1269"/>
      <c r="H53" s="1270"/>
      <c r="I53" s="355" t="s">
        <v>475</v>
      </c>
      <c r="J53" s="269"/>
      <c r="K53" s="390">
        <f>IF(D53="Y",J53*E53,"")</f>
        <v>0</v>
      </c>
      <c r="L53" s="145" t="str">
        <f>IFERROR(IF(D53="Y",K53/$K$57,0%),"0.0%")</f>
        <v>0.0%</v>
      </c>
      <c r="M53" s="139" t="s">
        <v>56</v>
      </c>
      <c r="N53" s="137"/>
    </row>
    <row r="54" spans="1:14" ht="47.25" customHeight="1" thickBot="1" x14ac:dyDescent="0.3">
      <c r="A54" s="1335"/>
      <c r="B54" s="217"/>
      <c r="C54" s="218" t="s">
        <v>55</v>
      </c>
      <c r="D54" s="239" t="s">
        <v>49</v>
      </c>
      <c r="E54" s="346"/>
      <c r="F54" s="296"/>
      <c r="G54" s="1269"/>
      <c r="H54" s="1270"/>
      <c r="I54" s="355" t="s">
        <v>475</v>
      </c>
      <c r="J54" s="269"/>
      <c r="K54" s="390">
        <f>IF(D54="Y",J54*E54,"")</f>
        <v>0</v>
      </c>
      <c r="L54" s="145" t="str">
        <f>IFERROR(IF(D54="Y",K54/$K$57,0%),"0.0%")</f>
        <v>0.0%</v>
      </c>
      <c r="M54" s="139" t="s">
        <v>56</v>
      </c>
      <c r="N54" s="137"/>
    </row>
    <row r="55" spans="1:14" ht="15.75" thickBot="1" x14ac:dyDescent="0.3">
      <c r="A55" s="146" t="s">
        <v>53</v>
      </c>
      <c r="B55" s="147" t="str">
        <f>A51</f>
        <v>Other Activity that may be applicable to this area</v>
      </c>
      <c r="C55" s="148"/>
      <c r="D55" s="149"/>
      <c r="E55" s="150"/>
      <c r="F55" s="149"/>
      <c r="G55" s="149"/>
      <c r="H55" s="149"/>
      <c r="I55" s="151"/>
      <c r="J55" s="152"/>
      <c r="K55" s="153">
        <f>SUM(K51:K54)</f>
        <v>0</v>
      </c>
      <c r="L55" s="149"/>
      <c r="M55" s="154"/>
      <c r="N55" s="137"/>
    </row>
    <row r="56" spans="1:14" x14ac:dyDescent="0.25">
      <c r="A56" s="157"/>
      <c r="B56" s="157"/>
      <c r="C56" s="158"/>
      <c r="D56" s="159"/>
      <c r="E56" s="160"/>
      <c r="F56" s="159"/>
      <c r="G56" s="159"/>
      <c r="H56" s="159"/>
      <c r="I56" s="161"/>
      <c r="J56" s="162"/>
      <c r="K56" s="163"/>
      <c r="L56" s="159"/>
      <c r="M56" s="158"/>
      <c r="N56" s="137"/>
    </row>
    <row r="57" spans="1:14" ht="21" x14ac:dyDescent="0.25">
      <c r="A57" s="157"/>
      <c r="B57" s="157"/>
      <c r="C57" s="158"/>
      <c r="D57" s="159"/>
      <c r="E57" s="160"/>
      <c r="F57" s="159"/>
      <c r="G57" s="159"/>
      <c r="H57" s="159"/>
      <c r="I57" s="137"/>
      <c r="J57" s="164" t="s">
        <v>154</v>
      </c>
      <c r="K57" s="165">
        <f>K55+K50+K38+K26+K23</f>
        <v>0</v>
      </c>
      <c r="L57" s="159"/>
      <c r="M57" s="158"/>
      <c r="N57" s="137"/>
    </row>
    <row r="58" spans="1:14" x14ac:dyDescent="0.25">
      <c r="A58" s="157"/>
      <c r="B58" s="157"/>
      <c r="C58" s="158"/>
      <c r="D58" s="159"/>
      <c r="E58" s="160"/>
      <c r="F58" s="159"/>
      <c r="G58" s="159"/>
      <c r="H58" s="159"/>
      <c r="I58" s="161"/>
      <c r="J58" s="162"/>
      <c r="K58" s="163"/>
      <c r="L58" s="159"/>
      <c r="M58" s="158"/>
      <c r="N58" s="137"/>
    </row>
    <row r="59" spans="1:14" x14ac:dyDescent="0.25">
      <c r="A59" s="157"/>
      <c r="B59" s="157"/>
      <c r="C59" s="158"/>
      <c r="D59" s="159"/>
      <c r="E59" s="160"/>
      <c r="F59" s="159"/>
      <c r="G59" s="159"/>
      <c r="H59" s="159"/>
      <c r="I59" s="161"/>
      <c r="J59" s="162"/>
      <c r="K59" s="163"/>
      <c r="L59" s="159"/>
      <c r="M59" s="158"/>
      <c r="N59" s="137"/>
    </row>
    <row r="60" spans="1:14" x14ac:dyDescent="0.25">
      <c r="A60" s="157"/>
      <c r="B60" s="157"/>
      <c r="C60" s="158"/>
      <c r="D60" s="159"/>
      <c r="E60" s="160"/>
      <c r="F60" s="159"/>
      <c r="G60" s="159"/>
      <c r="H60" s="159"/>
      <c r="I60" s="161"/>
      <c r="J60" s="162"/>
      <c r="K60" s="163"/>
      <c r="L60" s="159"/>
      <c r="M60" s="158"/>
      <c r="N60" s="137"/>
    </row>
    <row r="61" spans="1:14" x14ac:dyDescent="0.25">
      <c r="A61" s="157"/>
      <c r="B61" s="157"/>
      <c r="C61" s="158"/>
      <c r="D61" s="159"/>
      <c r="E61" s="160"/>
      <c r="F61" s="159"/>
      <c r="G61" s="159"/>
      <c r="H61" s="159"/>
      <c r="I61" s="161"/>
      <c r="J61" s="162"/>
      <c r="K61" s="163"/>
      <c r="L61" s="159"/>
      <c r="M61" s="158"/>
      <c r="N61" s="137"/>
    </row>
    <row r="62" spans="1:14" x14ac:dyDescent="0.25">
      <c r="A62" s="3"/>
      <c r="B62" s="3"/>
      <c r="C62" s="30"/>
      <c r="D62" s="9"/>
      <c r="E62" s="31"/>
      <c r="F62" s="9"/>
      <c r="G62" s="9"/>
      <c r="H62" s="9"/>
      <c r="I62" s="32"/>
      <c r="J62" s="2"/>
      <c r="K62" s="33"/>
      <c r="L62" s="9"/>
      <c r="M62" s="30"/>
    </row>
    <row r="63" spans="1:14" x14ac:dyDescent="0.25">
      <c r="A63" s="3"/>
      <c r="B63" s="3"/>
      <c r="C63" s="30"/>
      <c r="D63" s="9"/>
      <c r="E63" s="31"/>
      <c r="F63" s="9"/>
      <c r="G63" s="9"/>
      <c r="H63" s="9"/>
      <c r="I63" s="32"/>
      <c r="J63" s="2"/>
      <c r="K63" s="33"/>
      <c r="L63" s="9"/>
      <c r="M63" s="30"/>
    </row>
    <row r="64" spans="1:14" x14ac:dyDescent="0.25">
      <c r="A64" s="3"/>
      <c r="B64" s="3"/>
      <c r="C64" s="30"/>
      <c r="D64" s="9"/>
      <c r="E64" s="31"/>
      <c r="F64" s="9"/>
      <c r="G64" s="9"/>
      <c r="H64" s="9"/>
      <c r="I64" s="32"/>
      <c r="J64" s="2"/>
      <c r="K64" s="33"/>
      <c r="L64" s="9"/>
      <c r="M64" s="30"/>
    </row>
    <row r="65" spans="1:13" x14ac:dyDescent="0.25">
      <c r="A65" s="3"/>
      <c r="B65" s="3"/>
      <c r="C65" s="30"/>
      <c r="D65" s="9"/>
      <c r="E65" s="31"/>
      <c r="F65" s="9"/>
      <c r="G65" s="9"/>
      <c r="H65" s="9"/>
      <c r="I65" s="32"/>
      <c r="J65" s="2"/>
      <c r="K65" s="33"/>
      <c r="L65" s="9"/>
      <c r="M65" s="30"/>
    </row>
    <row r="66" spans="1:13" x14ac:dyDescent="0.25">
      <c r="A66" s="3"/>
      <c r="B66" s="3"/>
      <c r="C66" s="30"/>
      <c r="D66" s="9"/>
      <c r="E66" s="31"/>
      <c r="F66" s="9"/>
      <c r="G66" s="9"/>
      <c r="H66" s="9"/>
      <c r="I66" s="32"/>
      <c r="J66" s="2"/>
      <c r="K66" s="33"/>
      <c r="L66" s="9"/>
      <c r="M66" s="30"/>
    </row>
    <row r="67" spans="1:13" x14ac:dyDescent="0.25">
      <c r="A67" s="3"/>
      <c r="B67" s="3"/>
      <c r="C67" s="30"/>
      <c r="D67" s="9"/>
      <c r="E67" s="31"/>
      <c r="F67" s="9"/>
      <c r="G67" s="9"/>
      <c r="H67" s="9"/>
      <c r="I67" s="32"/>
      <c r="J67" s="2"/>
      <c r="K67" s="33"/>
      <c r="L67" s="9"/>
      <c r="M67" s="30"/>
    </row>
    <row r="68" spans="1:13" x14ac:dyDescent="0.25">
      <c r="A68" s="3"/>
      <c r="B68" s="3"/>
      <c r="C68" s="30"/>
      <c r="D68" s="9"/>
      <c r="E68" s="31"/>
      <c r="F68" s="9"/>
      <c r="G68" s="9"/>
      <c r="H68" s="9"/>
      <c r="I68" s="32"/>
      <c r="J68" s="2"/>
      <c r="K68" s="33"/>
      <c r="L68" s="9"/>
      <c r="M68" s="30"/>
    </row>
    <row r="69" spans="1:13" x14ac:dyDescent="0.25">
      <c r="A69" s="3"/>
      <c r="B69" s="3"/>
      <c r="C69" s="30"/>
      <c r="D69" s="9"/>
      <c r="E69" s="9"/>
      <c r="F69" s="9"/>
      <c r="G69" s="9"/>
      <c r="H69" s="9"/>
      <c r="I69" s="32"/>
      <c r="J69" s="2"/>
      <c r="K69" s="33"/>
      <c r="L69" s="9"/>
      <c r="M69" s="30"/>
    </row>
    <row r="70" spans="1:13" x14ac:dyDescent="0.25">
      <c r="A70" s="3"/>
      <c r="B70" s="3"/>
      <c r="C70" s="30"/>
      <c r="D70" s="9"/>
      <c r="E70" s="9"/>
      <c r="F70" s="9"/>
      <c r="G70" s="9"/>
      <c r="H70" s="9"/>
      <c r="I70" s="32"/>
      <c r="J70" s="2"/>
      <c r="K70" s="33"/>
      <c r="L70" s="9"/>
      <c r="M70" s="30"/>
    </row>
    <row r="71" spans="1:13" x14ac:dyDescent="0.25">
      <c r="C71" s="30"/>
      <c r="D71" s="9"/>
      <c r="E71" s="9"/>
      <c r="F71" s="9"/>
      <c r="G71" s="9"/>
      <c r="H71" s="9"/>
      <c r="I71" s="32"/>
      <c r="J71" s="2"/>
      <c r="K71" s="9"/>
      <c r="L71" s="9"/>
      <c r="M71" s="30"/>
    </row>
    <row r="72" spans="1:13" x14ac:dyDescent="0.25">
      <c r="C72" s="30"/>
      <c r="D72" s="9"/>
      <c r="E72" s="9"/>
      <c r="F72" s="9"/>
      <c r="G72" s="9"/>
      <c r="H72" s="9"/>
      <c r="I72" s="32"/>
      <c r="J72" s="2"/>
      <c r="K72" s="9"/>
      <c r="L72" s="9"/>
      <c r="M72" s="30"/>
    </row>
    <row r="73" spans="1:13" x14ac:dyDescent="0.25">
      <c r="C73" s="30"/>
      <c r="D73" s="9"/>
      <c r="E73" s="9"/>
      <c r="F73" s="9"/>
      <c r="G73" s="9"/>
      <c r="H73" s="9"/>
      <c r="I73" s="9"/>
      <c r="J73" s="9"/>
      <c r="K73" s="9"/>
      <c r="L73" s="9"/>
      <c r="M73" s="30"/>
    </row>
    <row r="74" spans="1:13" x14ac:dyDescent="0.25">
      <c r="D74" s="9"/>
      <c r="E74" s="9"/>
      <c r="F74" s="9"/>
      <c r="G74" s="9"/>
      <c r="H74" s="9"/>
      <c r="I74" s="9"/>
      <c r="J74" s="9"/>
      <c r="K74" s="9"/>
      <c r="L74" s="9"/>
    </row>
    <row r="75" spans="1:13" x14ac:dyDescent="0.25">
      <c r="D75" s="9"/>
      <c r="E75" s="9"/>
      <c r="F75" s="9"/>
      <c r="G75" s="9"/>
      <c r="H75" s="9"/>
      <c r="I75" s="9"/>
      <c r="J75" s="9"/>
      <c r="K75" s="9"/>
      <c r="L75" s="9"/>
    </row>
    <row r="76" spans="1:13" x14ac:dyDescent="0.25">
      <c r="D76" s="9"/>
      <c r="E76" s="9"/>
      <c r="F76" s="9"/>
      <c r="G76" s="9"/>
      <c r="H76" s="9"/>
      <c r="I76" s="9"/>
      <c r="J76" s="9"/>
      <c r="K76" s="9"/>
      <c r="L76" s="9"/>
    </row>
    <row r="77" spans="1:13" x14ac:dyDescent="0.25">
      <c r="D77" s="9"/>
      <c r="E77" s="9"/>
      <c r="F77" s="9"/>
      <c r="G77" s="9"/>
      <c r="H77" s="9"/>
      <c r="I77" s="9"/>
      <c r="J77" s="9"/>
      <c r="K77" s="9"/>
      <c r="L77" s="9"/>
    </row>
    <row r="78" spans="1:13" x14ac:dyDescent="0.25">
      <c r="D78" s="9"/>
      <c r="E78" s="9"/>
      <c r="F78" s="9"/>
      <c r="G78" s="9"/>
      <c r="H78" s="9"/>
      <c r="I78" s="9"/>
      <c r="J78" s="9"/>
      <c r="K78" s="9"/>
      <c r="L78" s="9"/>
    </row>
    <row r="79" spans="1:13" x14ac:dyDescent="0.25">
      <c r="D79" s="9"/>
      <c r="E79" s="9"/>
      <c r="F79" s="9"/>
      <c r="G79" s="9"/>
      <c r="H79" s="9"/>
      <c r="I79" s="9"/>
      <c r="J79" s="9"/>
      <c r="K79" s="9"/>
      <c r="L79" s="9"/>
    </row>
    <row r="80" spans="1:13" x14ac:dyDescent="0.25">
      <c r="D80" s="9"/>
      <c r="E80" s="9"/>
      <c r="F80" s="9"/>
      <c r="G80" s="9"/>
      <c r="H80" s="9"/>
      <c r="I80" s="9"/>
      <c r="J80" s="9"/>
      <c r="K80" s="9"/>
      <c r="L80" s="9"/>
    </row>
    <row r="81" spans="4:12" x14ac:dyDescent="0.25">
      <c r="D81" s="9"/>
      <c r="E81" s="9"/>
      <c r="F81" s="9"/>
      <c r="G81" s="9"/>
      <c r="H81" s="9"/>
      <c r="I81" s="9"/>
      <c r="J81" s="9"/>
      <c r="K81" s="9"/>
      <c r="L81" s="9"/>
    </row>
    <row r="82" spans="4:12" x14ac:dyDescent="0.25">
      <c r="D82" s="9"/>
      <c r="E82" s="9"/>
      <c r="F82" s="9"/>
      <c r="G82" s="9"/>
      <c r="H82" s="9"/>
      <c r="I82" s="9"/>
      <c r="J82" s="9"/>
      <c r="K82" s="9"/>
      <c r="L82" s="9"/>
    </row>
    <row r="83" spans="4:12" x14ac:dyDescent="0.25">
      <c r="D83" s="9"/>
      <c r="E83" s="9"/>
      <c r="F83" s="9"/>
      <c r="G83" s="9"/>
      <c r="H83" s="9"/>
      <c r="I83" s="9"/>
      <c r="J83" s="9"/>
      <c r="K83" s="9"/>
      <c r="L83" s="9"/>
    </row>
    <row r="84" spans="4:12" x14ac:dyDescent="0.25">
      <c r="D84" s="9"/>
      <c r="E84" s="9"/>
      <c r="F84" s="9"/>
      <c r="G84" s="9"/>
      <c r="H84" s="9"/>
      <c r="I84" s="9"/>
      <c r="J84" s="9"/>
      <c r="K84" s="9"/>
      <c r="L84" s="9"/>
    </row>
    <row r="85" spans="4:12" x14ac:dyDescent="0.25">
      <c r="D85" s="9"/>
      <c r="E85" s="9"/>
      <c r="F85" s="9"/>
      <c r="G85" s="9"/>
      <c r="H85" s="9"/>
      <c r="I85" s="9"/>
      <c r="J85" s="9"/>
      <c r="K85" s="9"/>
      <c r="L85" s="9"/>
    </row>
  </sheetData>
  <sheetProtection algorithmName="SHA-512" hashValue="mgvfS4F6Av+QFbFxcLu64GCPbc8S8+nVl70y7PUKq0xpQLeH/Ul0hQzYuLVrmqaX50HG8U4Hmn/5phfpo/ZNGQ==" saltValue="tyK5ki3C1lIzKBaYpP7w7g==" spinCount="100000" sheet="1" formatCells="0" formatRows="0" selectLockedCells="1"/>
  <mergeCells count="55">
    <mergeCell ref="R1:V1"/>
    <mergeCell ref="A51:A54"/>
    <mergeCell ref="G36:H36"/>
    <mergeCell ref="L20:M20"/>
    <mergeCell ref="G21:H21"/>
    <mergeCell ref="G24:H24"/>
    <mergeCell ref="G25:H25"/>
    <mergeCell ref="G34:H34"/>
    <mergeCell ref="A27:A35"/>
    <mergeCell ref="A39:A49"/>
    <mergeCell ref="A24:A25"/>
    <mergeCell ref="G28:H28"/>
    <mergeCell ref="G27:H27"/>
    <mergeCell ref="G37:H37"/>
    <mergeCell ref="G54:H54"/>
    <mergeCell ref="G53:H53"/>
    <mergeCell ref="G52:H52"/>
    <mergeCell ref="G41:H41"/>
    <mergeCell ref="G51:H51"/>
    <mergeCell ref="G42:H42"/>
    <mergeCell ref="G43:H43"/>
    <mergeCell ref="G44:H44"/>
    <mergeCell ref="G45:H45"/>
    <mergeCell ref="G46:H46"/>
    <mergeCell ref="G47:H47"/>
    <mergeCell ref="G48:H48"/>
    <mergeCell ref="G49:H49"/>
    <mergeCell ref="A1:B1"/>
    <mergeCell ref="C1:E1"/>
    <mergeCell ref="K1:L1"/>
    <mergeCell ref="C2:E2"/>
    <mergeCell ref="A5:E6"/>
    <mergeCell ref="G5:J5"/>
    <mergeCell ref="G6:M7"/>
    <mergeCell ref="B7:E7"/>
    <mergeCell ref="C3:E3"/>
    <mergeCell ref="F1:J3"/>
    <mergeCell ref="B8:E8"/>
    <mergeCell ref="G8:M19"/>
    <mergeCell ref="B9:E9"/>
    <mergeCell ref="B10:E10"/>
    <mergeCell ref="B11:E11"/>
    <mergeCell ref="B12:E12"/>
    <mergeCell ref="A14:B14"/>
    <mergeCell ref="C14:E14"/>
    <mergeCell ref="A15:B15"/>
    <mergeCell ref="C15:E15"/>
    <mergeCell ref="A16:E19"/>
    <mergeCell ref="G40:H40"/>
    <mergeCell ref="R8:V8"/>
    <mergeCell ref="R16:V16"/>
    <mergeCell ref="G29:H29"/>
    <mergeCell ref="G35:H35"/>
    <mergeCell ref="G32:H32"/>
    <mergeCell ref="G33:H33"/>
  </mergeCells>
  <dataValidations count="3">
    <dataValidation type="list" allowBlank="1" showInputMessage="1" showErrorMessage="1" sqref="H39" xr:uid="{00000000-0002-0000-0800-000000000000}">
      <formula1>$U$18:$U$22</formula1>
    </dataValidation>
    <dataValidation type="list" allowBlank="1" showInputMessage="1" showErrorMessage="1" sqref="H30:H31" xr:uid="{00000000-0002-0000-0800-000001000000}">
      <formula1>$U$10:$U$14</formula1>
    </dataValidation>
    <dataValidation type="list" allowBlank="1" showInputMessage="1" showErrorMessage="1" sqref="H22" xr:uid="{00000000-0002-0000-0800-000002000000}">
      <formula1>$X$2:$X$6</formula1>
    </dataValidation>
  </dataValidations>
  <pageMargins left="0.70866141732283472" right="0.70866141732283472" top="0.74803149606299213" bottom="0.74803149606299213" header="0.31496062992125984" footer="0.31496062992125984"/>
  <pageSetup paperSize="9" scale="53" fitToHeight="3" orientation="landscape" r:id="rId1"/>
  <headerFooter>
    <oddHeader>&amp;LDepartment for Energy and Mining&amp;C&amp;"Arial"&amp;12&amp;KA80000 OFFICIAL&amp;1#_x000D_</oddHeader>
    <oddFooter>&amp;L&amp;Z
&amp;F&amp;C&amp;P&amp;R&amp;D</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Y85"/>
  <sheetViews>
    <sheetView showGridLines="0" zoomScale="90" zoomScaleNormal="90" workbookViewId="0">
      <selection activeCell="G8" sqref="G8:M19"/>
    </sheetView>
  </sheetViews>
  <sheetFormatPr defaultRowHeight="15" x14ac:dyDescent="0.25"/>
  <cols>
    <col min="1" max="1" width="21.140625" customWidth="1"/>
    <col min="2" max="2" width="11.5703125" customWidth="1"/>
    <col min="3" max="3" width="37.7109375" customWidth="1"/>
    <col min="4" max="4" width="13.5703125" customWidth="1"/>
    <col min="5" max="5" width="11" customWidth="1"/>
    <col min="7" max="7" width="21.5703125" customWidth="1"/>
    <col min="8" max="8" width="15" customWidth="1"/>
    <col min="9" max="9" width="12.7109375" customWidth="1"/>
    <col min="10" max="10" width="12.28515625" customWidth="1"/>
    <col min="11" max="11" width="14.42578125" customWidth="1"/>
    <col min="12" max="12" width="13.5703125" customWidth="1"/>
    <col min="13" max="13" width="50.42578125" customWidth="1"/>
    <col min="15" max="15" width="11.140625" customWidth="1"/>
    <col min="17" max="17" width="11.140625" bestFit="1" customWidth="1"/>
    <col min="18" max="22" width="12.42578125" customWidth="1"/>
    <col min="24" max="24" width="29.42578125" bestFit="1" customWidth="1"/>
    <col min="25" max="25" width="14.85546875" customWidth="1"/>
  </cols>
  <sheetData>
    <row r="1" spans="1:25" ht="51" customHeight="1" x14ac:dyDescent="0.25">
      <c r="A1" s="1322" t="s">
        <v>485</v>
      </c>
      <c r="B1" s="1323"/>
      <c r="C1" s="1324" t="str">
        <f>'Summary Page'!E13</f>
        <v/>
      </c>
      <c r="D1" s="1325"/>
      <c r="E1" s="1326"/>
      <c r="F1" s="1360"/>
      <c r="G1" s="1285"/>
      <c r="H1" s="1285"/>
      <c r="I1" s="1285"/>
      <c r="J1" s="1286"/>
      <c r="K1" s="1295" t="s">
        <v>460</v>
      </c>
      <c r="L1" s="1295"/>
      <c r="M1" s="404" t="s">
        <v>545</v>
      </c>
      <c r="P1" s="525" t="str">
        <f>B30</f>
        <v>A1005</v>
      </c>
      <c r="Q1" s="526" t="s">
        <v>19</v>
      </c>
      <c r="R1" s="1273" t="str">
        <f>C30</f>
        <v>Load and haul of mined, processed, stockpiled materials or topsoil</v>
      </c>
      <c r="S1" s="1274"/>
      <c r="T1" s="1274"/>
      <c r="U1" s="1274"/>
      <c r="V1" s="1275"/>
      <c r="X1" s="516" t="s">
        <v>74</v>
      </c>
      <c r="Y1" s="516" t="str">
        <f>B22</f>
        <v>A1087</v>
      </c>
    </row>
    <row r="2" spans="1:25" ht="30" x14ac:dyDescent="0.35">
      <c r="A2" s="324" t="s">
        <v>461</v>
      </c>
      <c r="B2" s="325">
        <v>3</v>
      </c>
      <c r="C2" s="1296" t="str">
        <f>'Summary Page'!E19</f>
        <v/>
      </c>
      <c r="D2" s="1297"/>
      <c r="E2" s="1348"/>
      <c r="F2" s="1287"/>
      <c r="G2" s="1288"/>
      <c r="H2" s="1288"/>
      <c r="I2" s="1288"/>
      <c r="J2" s="1289"/>
      <c r="K2" s="326"/>
      <c r="L2" s="327" t="s">
        <v>152</v>
      </c>
      <c r="M2" s="328">
        <f>K57</f>
        <v>0</v>
      </c>
      <c r="P2" s="297" t="s">
        <v>61</v>
      </c>
      <c r="Q2" s="371" t="s">
        <v>58</v>
      </c>
      <c r="R2" s="371" t="s">
        <v>59</v>
      </c>
      <c r="S2" s="371" t="s">
        <v>60</v>
      </c>
      <c r="T2" s="371" t="s">
        <v>53</v>
      </c>
      <c r="U2" s="372" t="s">
        <v>61</v>
      </c>
      <c r="V2" s="373" t="s">
        <v>53</v>
      </c>
      <c r="X2" s="41" t="s">
        <v>833</v>
      </c>
      <c r="Y2" s="466">
        <f>VLOOKUP(Y1,Activities!A10:Q129,16,FALSE)</f>
        <v>27868.467286149284</v>
      </c>
    </row>
    <row r="3" spans="1:25" ht="21" x14ac:dyDescent="0.25">
      <c r="A3" s="329" t="s">
        <v>267</v>
      </c>
      <c r="B3" s="330">
        <f>'Version Control'!B50</f>
        <v>7</v>
      </c>
      <c r="C3" s="1356" t="s">
        <v>545</v>
      </c>
      <c r="D3" s="1357"/>
      <c r="E3" s="1358"/>
      <c r="F3" s="1290"/>
      <c r="G3" s="1291"/>
      <c r="H3" s="1291"/>
      <c r="I3" s="1291"/>
      <c r="J3" s="1292"/>
      <c r="K3" s="331"/>
      <c r="L3" s="332" t="s">
        <v>462</v>
      </c>
      <c r="M3" s="333">
        <f>'Summary Page'!J73</f>
        <v>0</v>
      </c>
      <c r="P3" s="374" t="s">
        <v>35</v>
      </c>
      <c r="Q3" s="357">
        <f>VLOOKUP(P1,Activities!$A$10:$Q$152,16,FALSE)</f>
        <v>1.1086505828514972</v>
      </c>
      <c r="R3" s="357">
        <f>VLOOKUP(Q1,Activities!$A$10:$Q$152,16,FALSE)</f>
        <v>1.1303836975020005</v>
      </c>
      <c r="S3" s="376">
        <v>1</v>
      </c>
      <c r="T3" s="375">
        <f>R3+Q3</f>
        <v>2.2390342803534979</v>
      </c>
      <c r="U3" s="235" t="s">
        <v>35</v>
      </c>
      <c r="V3" s="377">
        <f>T3</f>
        <v>2.2390342803534979</v>
      </c>
      <c r="X3" s="71" t="s">
        <v>836</v>
      </c>
      <c r="Y3" s="467">
        <f>Y2*2</f>
        <v>55736.934572298567</v>
      </c>
    </row>
    <row r="4" spans="1:25" ht="21" x14ac:dyDescent="0.25">
      <c r="A4" s="334" t="s">
        <v>463</v>
      </c>
      <c r="B4" s="335">
        <f>'Version Control'!A50</f>
        <v>45531</v>
      </c>
      <c r="C4" s="233"/>
      <c r="D4" s="233"/>
      <c r="E4" s="233"/>
      <c r="F4" s="233"/>
      <c r="G4" s="233"/>
      <c r="H4" s="233"/>
      <c r="I4" s="233"/>
      <c r="J4" s="233"/>
      <c r="K4" s="294"/>
      <c r="L4" s="336" t="s">
        <v>464</v>
      </c>
      <c r="M4" s="337" t="e">
        <f>M2/M3</f>
        <v>#DIV/0!</v>
      </c>
      <c r="P4" s="374" t="s">
        <v>36</v>
      </c>
      <c r="Q4" s="357">
        <f>Q3</f>
        <v>1.1086505828514972</v>
      </c>
      <c r="R4" s="375">
        <f>R3*2</f>
        <v>2.260767395004001</v>
      </c>
      <c r="S4" s="376">
        <v>0.8</v>
      </c>
      <c r="T4" s="375">
        <f>Q4+(R4*S4)</f>
        <v>2.9172644988546983</v>
      </c>
      <c r="U4" s="235" t="s">
        <v>36</v>
      </c>
      <c r="V4" s="377">
        <f>T4</f>
        <v>2.9172644988546983</v>
      </c>
      <c r="X4" s="71" t="s">
        <v>834</v>
      </c>
      <c r="Y4" s="467">
        <f>Y2*3-1</f>
        <v>83604.401858447847</v>
      </c>
    </row>
    <row r="5" spans="1:25" ht="23.25" x14ac:dyDescent="0.25">
      <c r="A5" s="1349" t="s">
        <v>465</v>
      </c>
      <c r="B5" s="1298"/>
      <c r="C5" s="1298"/>
      <c r="D5" s="1298"/>
      <c r="E5" s="1299"/>
      <c r="F5" s="233"/>
      <c r="G5" s="1302" t="s">
        <v>466</v>
      </c>
      <c r="H5" s="1303"/>
      <c r="I5" s="1303"/>
      <c r="J5" s="1304"/>
      <c r="K5" s="233"/>
      <c r="L5" s="233"/>
      <c r="M5" s="233"/>
      <c r="P5" s="374" t="s">
        <v>37</v>
      </c>
      <c r="Q5" s="357">
        <f t="shared" ref="Q5:Q6" si="0">Q4</f>
        <v>1.1086505828514972</v>
      </c>
      <c r="R5" s="375">
        <f>R3*4</f>
        <v>4.5215347900080021</v>
      </c>
      <c r="S5" s="376">
        <v>0.7</v>
      </c>
      <c r="T5" s="375">
        <f>Q5+(R5*S5)</f>
        <v>4.2737249358570981</v>
      </c>
      <c r="U5" s="235" t="s">
        <v>37</v>
      </c>
      <c r="V5" s="377">
        <f>T5</f>
        <v>4.2737249358570981</v>
      </c>
      <c r="X5" s="71" t="s">
        <v>835</v>
      </c>
      <c r="Y5" s="467">
        <f>Y2*5-1</f>
        <v>139341.33643074642</v>
      </c>
    </row>
    <row r="6" spans="1:25" ht="15" customHeight="1" x14ac:dyDescent="0.25">
      <c r="A6" s="1350"/>
      <c r="B6" s="1351"/>
      <c r="C6" s="1351"/>
      <c r="D6" s="1351"/>
      <c r="E6" s="1352"/>
      <c r="F6" s="299"/>
      <c r="G6" s="1305" t="s">
        <v>484</v>
      </c>
      <c r="H6" s="1306"/>
      <c r="I6" s="1306"/>
      <c r="J6" s="1306"/>
      <c r="K6" s="1306"/>
      <c r="L6" s="1306"/>
      <c r="M6" s="1307"/>
      <c r="P6" s="374" t="s">
        <v>38</v>
      </c>
      <c r="Q6" s="357">
        <f t="shared" si="0"/>
        <v>1.1086505828514972</v>
      </c>
      <c r="R6" s="375">
        <f>R3*8</f>
        <v>9.0430695800160041</v>
      </c>
      <c r="S6" s="376">
        <v>0.6</v>
      </c>
      <c r="T6" s="375">
        <f>Q6+(R6*S6)</f>
        <v>6.5344923308610987</v>
      </c>
      <c r="U6" s="235" t="s">
        <v>244</v>
      </c>
      <c r="V6" s="377">
        <f>T6</f>
        <v>6.5344923308610987</v>
      </c>
      <c r="X6" s="52" t="s">
        <v>613</v>
      </c>
      <c r="Y6" s="124"/>
    </row>
    <row r="7" spans="1:25" ht="15" customHeight="1" x14ac:dyDescent="0.25">
      <c r="A7" s="348">
        <v>1</v>
      </c>
      <c r="B7" s="1353" t="s">
        <v>85</v>
      </c>
      <c r="C7" s="1354"/>
      <c r="D7" s="1354"/>
      <c r="E7" s="1355"/>
      <c r="F7" s="339"/>
      <c r="G7" s="1308"/>
      <c r="H7" s="1309"/>
      <c r="I7" s="1309"/>
      <c r="J7" s="1309"/>
      <c r="K7" s="1309"/>
      <c r="L7" s="1309"/>
      <c r="M7" s="1310"/>
      <c r="P7" s="238"/>
      <c r="Q7" s="236"/>
      <c r="R7" s="236"/>
      <c r="S7" s="236"/>
      <c r="T7" s="236"/>
      <c r="U7" s="236" t="s">
        <v>264</v>
      </c>
      <c r="V7" s="237"/>
    </row>
    <row r="8" spans="1:25" ht="18.75" x14ac:dyDescent="0.25">
      <c r="A8" s="297">
        <v>2</v>
      </c>
      <c r="B8" s="1340" t="s">
        <v>86</v>
      </c>
      <c r="C8" s="1341"/>
      <c r="D8" s="1341"/>
      <c r="E8" s="1342"/>
      <c r="F8" s="339"/>
      <c r="G8" s="1137"/>
      <c r="H8" s="1138"/>
      <c r="I8" s="1138"/>
      <c r="J8" s="1138"/>
      <c r="K8" s="1138"/>
      <c r="L8" s="1138"/>
      <c r="M8" s="1139"/>
      <c r="P8" s="525" t="str">
        <f>B31</f>
        <v>A1006</v>
      </c>
      <c r="Q8" s="526" t="s">
        <v>19</v>
      </c>
      <c r="R8" s="1273" t="s">
        <v>893</v>
      </c>
      <c r="S8" s="1274"/>
      <c r="T8" s="1274"/>
      <c r="U8" s="1274"/>
      <c r="V8" s="1275"/>
      <c r="X8" s="127"/>
      <c r="Y8" s="135"/>
    </row>
    <row r="9" spans="1:25" ht="30.75" customHeight="1" x14ac:dyDescent="0.25">
      <c r="A9" s="297">
        <v>3</v>
      </c>
      <c r="B9" s="1343" t="s">
        <v>348</v>
      </c>
      <c r="C9" s="1344"/>
      <c r="D9" s="1344"/>
      <c r="E9" s="1345"/>
      <c r="F9" s="339"/>
      <c r="G9" s="1140"/>
      <c r="H9" s="1329"/>
      <c r="I9" s="1329"/>
      <c r="J9" s="1329"/>
      <c r="K9" s="1329"/>
      <c r="L9" s="1329"/>
      <c r="M9" s="1142"/>
      <c r="P9" s="297" t="s">
        <v>61</v>
      </c>
      <c r="Q9" s="371" t="s">
        <v>58</v>
      </c>
      <c r="R9" s="371" t="s">
        <v>59</v>
      </c>
      <c r="S9" s="371" t="s">
        <v>60</v>
      </c>
      <c r="T9" s="371" t="s">
        <v>53</v>
      </c>
      <c r="U9" s="372" t="s">
        <v>61</v>
      </c>
      <c r="V9" s="373" t="s">
        <v>53</v>
      </c>
      <c r="X9" s="116"/>
      <c r="Y9" s="125"/>
    </row>
    <row r="10" spans="1:25" x14ac:dyDescent="0.25">
      <c r="A10" s="297">
        <v>4</v>
      </c>
      <c r="B10" s="1327" t="s">
        <v>73</v>
      </c>
      <c r="C10" s="1327"/>
      <c r="D10" s="1327"/>
      <c r="E10" s="1328"/>
      <c r="F10" s="339"/>
      <c r="G10" s="1140"/>
      <c r="H10" s="1329"/>
      <c r="I10" s="1329"/>
      <c r="J10" s="1329"/>
      <c r="K10" s="1329"/>
      <c r="L10" s="1329"/>
      <c r="M10" s="1142"/>
      <c r="P10" s="374" t="s">
        <v>35</v>
      </c>
      <c r="Q10" s="357">
        <f>VLOOKUP(P8,Activities!$A$10:$Q$152,16,FALSE)</f>
        <v>1.1086505828514972</v>
      </c>
      <c r="R10" s="357">
        <f>VLOOKUP(Q8,Activities!$A$10:$Q$152,16,FALSE)</f>
        <v>1.1303836975020005</v>
      </c>
      <c r="S10" s="376">
        <v>1</v>
      </c>
      <c r="T10" s="375">
        <f>R10+Q10</f>
        <v>2.2390342803534979</v>
      </c>
      <c r="U10" s="235" t="s">
        <v>35</v>
      </c>
      <c r="V10" s="377">
        <f>T10</f>
        <v>2.2390342803534979</v>
      </c>
    </row>
    <row r="11" spans="1:25" x14ac:dyDescent="0.25">
      <c r="A11" s="297">
        <v>5</v>
      </c>
      <c r="B11" s="1330" t="s">
        <v>486</v>
      </c>
      <c r="C11" s="1331"/>
      <c r="D11" s="1331"/>
      <c r="E11" s="1332"/>
      <c r="F11" s="339"/>
      <c r="G11" s="1140"/>
      <c r="H11" s="1329"/>
      <c r="I11" s="1329"/>
      <c r="J11" s="1329"/>
      <c r="K11" s="1329"/>
      <c r="L11" s="1329"/>
      <c r="M11" s="1142"/>
      <c r="P11" s="374" t="s">
        <v>36</v>
      </c>
      <c r="Q11" s="375">
        <f>Q10</f>
        <v>1.1086505828514972</v>
      </c>
      <c r="R11" s="375">
        <f>R10*2</f>
        <v>2.260767395004001</v>
      </c>
      <c r="S11" s="376">
        <v>0.8</v>
      </c>
      <c r="T11" s="375">
        <f>Q11+(R11*S11)</f>
        <v>2.9172644988546983</v>
      </c>
      <c r="U11" s="235" t="s">
        <v>36</v>
      </c>
      <c r="V11" s="377">
        <f>T11</f>
        <v>2.9172644988546983</v>
      </c>
    </row>
    <row r="12" spans="1:25" x14ac:dyDescent="0.25">
      <c r="A12" s="305">
        <v>6</v>
      </c>
      <c r="B12" s="1346" t="s">
        <v>487</v>
      </c>
      <c r="C12" s="1346"/>
      <c r="D12" s="1346"/>
      <c r="E12" s="1347"/>
      <c r="F12" s="233"/>
      <c r="G12" s="1140"/>
      <c r="H12" s="1329"/>
      <c r="I12" s="1329"/>
      <c r="J12" s="1329"/>
      <c r="K12" s="1329"/>
      <c r="L12" s="1329"/>
      <c r="M12" s="1142"/>
      <c r="P12" s="374" t="s">
        <v>37</v>
      </c>
      <c r="Q12" s="375">
        <f t="shared" ref="Q12:Q13" si="1">Q11</f>
        <v>1.1086505828514972</v>
      </c>
      <c r="R12" s="375">
        <f>R10*4</f>
        <v>4.5215347900080021</v>
      </c>
      <c r="S12" s="376">
        <v>0.7</v>
      </c>
      <c r="T12" s="375">
        <f>Q12+(R12*S12)</f>
        <v>4.2737249358570981</v>
      </c>
      <c r="U12" s="235" t="s">
        <v>37</v>
      </c>
      <c r="V12" s="377">
        <f>T12</f>
        <v>4.2737249358570981</v>
      </c>
    </row>
    <row r="13" spans="1:25" x14ac:dyDescent="0.25">
      <c r="A13" s="340" t="s">
        <v>34</v>
      </c>
      <c r="B13" s="233"/>
      <c r="C13" s="233"/>
      <c r="D13" s="233"/>
      <c r="E13" s="233"/>
      <c r="F13" s="233"/>
      <c r="G13" s="1140"/>
      <c r="H13" s="1329"/>
      <c r="I13" s="1329"/>
      <c r="J13" s="1329"/>
      <c r="K13" s="1329"/>
      <c r="L13" s="1329"/>
      <c r="M13" s="1142"/>
      <c r="P13" s="374" t="s">
        <v>38</v>
      </c>
      <c r="Q13" s="375">
        <f t="shared" si="1"/>
        <v>1.1086505828514972</v>
      </c>
      <c r="R13" s="375">
        <f>R10*8</f>
        <v>9.0430695800160041</v>
      </c>
      <c r="S13" s="376">
        <v>0.6</v>
      </c>
      <c r="T13" s="375">
        <f>Q13+(R13*S13)</f>
        <v>6.5344923308610987</v>
      </c>
      <c r="U13" s="235" t="s">
        <v>244</v>
      </c>
      <c r="V13" s="377">
        <f>T13</f>
        <v>6.5344923308610987</v>
      </c>
    </row>
    <row r="14" spans="1:25" x14ac:dyDescent="0.25">
      <c r="A14" s="1276"/>
      <c r="B14" s="1277"/>
      <c r="C14" s="1278" t="s">
        <v>352</v>
      </c>
      <c r="D14" s="1278"/>
      <c r="E14" s="1279"/>
      <c r="F14" s="233"/>
      <c r="G14" s="1140"/>
      <c r="H14" s="1329"/>
      <c r="I14" s="1329"/>
      <c r="J14" s="1329"/>
      <c r="K14" s="1329"/>
      <c r="L14" s="1329"/>
      <c r="M14" s="1142"/>
      <c r="P14" s="238"/>
      <c r="Q14" s="236"/>
      <c r="R14" s="236"/>
      <c r="S14" s="236"/>
      <c r="T14" s="236"/>
      <c r="U14" s="236" t="s">
        <v>264</v>
      </c>
      <c r="V14" s="237"/>
    </row>
    <row r="15" spans="1:25" x14ac:dyDescent="0.25">
      <c r="A15" s="1201"/>
      <c r="B15" s="1202"/>
      <c r="C15" s="1280" t="s">
        <v>467</v>
      </c>
      <c r="D15" s="1280"/>
      <c r="E15" s="1281"/>
      <c r="F15" s="233"/>
      <c r="G15" s="1140"/>
      <c r="H15" s="1329"/>
      <c r="I15" s="1329"/>
      <c r="J15" s="1329"/>
      <c r="K15" s="1329"/>
      <c r="L15" s="1329"/>
      <c r="M15" s="1142"/>
      <c r="P15" s="233"/>
      <c r="Q15" s="233"/>
      <c r="R15" s="233"/>
      <c r="S15" s="233"/>
      <c r="T15" s="233"/>
      <c r="U15" s="233"/>
      <c r="V15" s="233"/>
    </row>
    <row r="16" spans="1:25" ht="18.75" x14ac:dyDescent="0.25">
      <c r="A16" s="1284" t="s">
        <v>826</v>
      </c>
      <c r="B16" s="1285"/>
      <c r="C16" s="1285"/>
      <c r="D16" s="1285"/>
      <c r="E16" s="1286"/>
      <c r="F16" s="233"/>
      <c r="G16" s="1140"/>
      <c r="H16" s="1329"/>
      <c r="I16" s="1329"/>
      <c r="J16" s="1329"/>
      <c r="K16" s="1329"/>
      <c r="L16" s="1329"/>
      <c r="M16" s="1142"/>
      <c r="P16" s="525" t="str">
        <f>B39</f>
        <v>A1013</v>
      </c>
      <c r="Q16" s="526" t="s">
        <v>19</v>
      </c>
      <c r="R16" s="1273" t="s">
        <v>72</v>
      </c>
      <c r="S16" s="1274"/>
      <c r="T16" s="1274"/>
      <c r="U16" s="1274"/>
      <c r="V16" s="1275"/>
    </row>
    <row r="17" spans="1:24" ht="34.5" customHeight="1" x14ac:dyDescent="0.25">
      <c r="A17" s="1287"/>
      <c r="B17" s="1288"/>
      <c r="C17" s="1288"/>
      <c r="D17" s="1288"/>
      <c r="E17" s="1289"/>
      <c r="F17" s="233"/>
      <c r="G17" s="1140"/>
      <c r="H17" s="1329"/>
      <c r="I17" s="1329"/>
      <c r="J17" s="1329"/>
      <c r="K17" s="1329"/>
      <c r="L17" s="1329"/>
      <c r="M17" s="1142"/>
      <c r="P17" s="297" t="s">
        <v>61</v>
      </c>
      <c r="Q17" s="371" t="s">
        <v>58</v>
      </c>
      <c r="R17" s="371" t="s">
        <v>59</v>
      </c>
      <c r="S17" s="371" t="s">
        <v>60</v>
      </c>
      <c r="T17" s="371" t="s">
        <v>53</v>
      </c>
      <c r="U17" s="372" t="s">
        <v>61</v>
      </c>
      <c r="V17" s="373" t="s">
        <v>53</v>
      </c>
    </row>
    <row r="18" spans="1:24" x14ac:dyDescent="0.25">
      <c r="A18" s="1287"/>
      <c r="B18" s="1288"/>
      <c r="C18" s="1288"/>
      <c r="D18" s="1288"/>
      <c r="E18" s="1289"/>
      <c r="F18" s="233"/>
      <c r="G18" s="1140"/>
      <c r="H18" s="1329"/>
      <c r="I18" s="1329"/>
      <c r="J18" s="1329"/>
      <c r="K18" s="1329"/>
      <c r="L18" s="1329"/>
      <c r="M18" s="1142"/>
      <c r="P18" s="374" t="s">
        <v>35</v>
      </c>
      <c r="Q18" s="357">
        <f>VLOOKUP(P16,Activities!$A$10:$Q$152,16,FALSE)</f>
        <v>1.4289323610931841</v>
      </c>
      <c r="R18" s="357">
        <f>VLOOKUP(Q16,Activities!$A$10:$Q$152,16,FALSE)</f>
        <v>1.1303836975020005</v>
      </c>
      <c r="S18" s="376">
        <v>1</v>
      </c>
      <c r="T18" s="375">
        <f>R18+Q18</f>
        <v>2.5593160585951846</v>
      </c>
      <c r="U18" s="235" t="s">
        <v>35</v>
      </c>
      <c r="V18" s="377">
        <f>T18</f>
        <v>2.5593160585951846</v>
      </c>
    </row>
    <row r="19" spans="1:24" x14ac:dyDescent="0.25">
      <c r="A19" s="1290"/>
      <c r="B19" s="1291"/>
      <c r="C19" s="1291"/>
      <c r="D19" s="1291"/>
      <c r="E19" s="1292"/>
      <c r="F19" s="233"/>
      <c r="G19" s="1143"/>
      <c r="H19" s="1144"/>
      <c r="I19" s="1144"/>
      <c r="J19" s="1144"/>
      <c r="K19" s="1144"/>
      <c r="L19" s="1144"/>
      <c r="M19" s="1145"/>
      <c r="P19" s="374" t="s">
        <v>36</v>
      </c>
      <c r="Q19" s="375">
        <f>Q18</f>
        <v>1.4289323610931841</v>
      </c>
      <c r="R19" s="375">
        <f>R18*2</f>
        <v>2.260767395004001</v>
      </c>
      <c r="S19" s="376">
        <v>0.8</v>
      </c>
      <c r="T19" s="375">
        <f>Q19+(R19*S19)</f>
        <v>3.237546277096385</v>
      </c>
      <c r="U19" s="235" t="s">
        <v>36</v>
      </c>
      <c r="V19" s="377">
        <f>T19</f>
        <v>3.237546277096385</v>
      </c>
    </row>
    <row r="20" spans="1:24" ht="15" customHeight="1" x14ac:dyDescent="0.25">
      <c r="A20" s="233"/>
      <c r="B20" s="233"/>
      <c r="C20" s="233"/>
      <c r="D20" s="366"/>
      <c r="E20" s="233"/>
      <c r="F20" s="233"/>
      <c r="G20" s="233"/>
      <c r="H20" s="233"/>
      <c r="I20" s="233"/>
      <c r="J20" s="219"/>
      <c r="K20" s="367"/>
      <c r="L20" s="1291"/>
      <c r="M20" s="1292"/>
      <c r="N20" s="136"/>
      <c r="O20" s="136"/>
      <c r="P20" s="374" t="s">
        <v>37</v>
      </c>
      <c r="Q20" s="375">
        <f t="shared" ref="Q20:Q21" si="2">Q19</f>
        <v>1.4289323610931841</v>
      </c>
      <c r="R20" s="375">
        <f>R18*4</f>
        <v>4.5215347900080021</v>
      </c>
      <c r="S20" s="376">
        <v>0.7</v>
      </c>
      <c r="T20" s="375">
        <f>Q20+(R20*S20)</f>
        <v>4.5940067140987857</v>
      </c>
      <c r="U20" s="235" t="s">
        <v>37</v>
      </c>
      <c r="V20" s="377">
        <f>T20</f>
        <v>4.5940067140987857</v>
      </c>
      <c r="W20" s="136"/>
      <c r="X20" s="136"/>
    </row>
    <row r="21" spans="1:24" s="1" customFormat="1" ht="60.75" customHeight="1" thickBot="1" x14ac:dyDescent="0.3">
      <c r="A21" s="119" t="s">
        <v>39</v>
      </c>
      <c r="B21" s="120" t="s">
        <v>40</v>
      </c>
      <c r="C21" s="120" t="s">
        <v>479</v>
      </c>
      <c r="D21" s="311" t="s">
        <v>272</v>
      </c>
      <c r="E21" s="311" t="s">
        <v>43</v>
      </c>
      <c r="F21" s="120" t="s">
        <v>273</v>
      </c>
      <c r="G21" s="1212" t="s">
        <v>416</v>
      </c>
      <c r="H21" s="1212"/>
      <c r="I21" s="120" t="s">
        <v>45</v>
      </c>
      <c r="J21" s="312" t="s">
        <v>271</v>
      </c>
      <c r="K21" s="120" t="s">
        <v>47</v>
      </c>
      <c r="L21" s="120" t="s">
        <v>270</v>
      </c>
      <c r="M21" s="317" t="s">
        <v>415</v>
      </c>
      <c r="N21" s="243"/>
      <c r="O21" s="138"/>
      <c r="P21" s="374" t="s">
        <v>38</v>
      </c>
      <c r="Q21" s="375">
        <f t="shared" si="2"/>
        <v>1.4289323610931841</v>
      </c>
      <c r="R21" s="375">
        <f>R18*8</f>
        <v>9.0430695800160041</v>
      </c>
      <c r="S21" s="376">
        <v>0.6</v>
      </c>
      <c r="T21" s="375">
        <f>Q21+(R21*S21)</f>
        <v>6.8547741091027863</v>
      </c>
      <c r="U21" s="235" t="s">
        <v>244</v>
      </c>
      <c r="V21" s="377">
        <f>T21</f>
        <v>6.8547741091027863</v>
      </c>
      <c r="W21" s="138"/>
      <c r="X21" s="138"/>
    </row>
    <row r="22" spans="1:24" ht="60.75" customHeight="1" thickBot="1" x14ac:dyDescent="0.3">
      <c r="A22" s="244" t="s">
        <v>76</v>
      </c>
      <c r="B22" s="245" t="s">
        <v>608</v>
      </c>
      <c r="C22" s="259" t="str">
        <f>VLOOKUP($B22,Activities!$A$10:$P$152,3,FALSE)</f>
        <v>Design/Quantify/Survey Rehabilitation Structures to Specification Standard</v>
      </c>
      <c r="D22" s="239" t="s">
        <v>49</v>
      </c>
      <c r="E22" s="240"/>
      <c r="F22" s="246" t="s">
        <v>50</v>
      </c>
      <c r="G22" s="313" t="s">
        <v>615</v>
      </c>
      <c r="H22" s="140" t="s">
        <v>613</v>
      </c>
      <c r="I22" s="273">
        <f>VLOOKUP(H22,X2:Y6,2,FALSE)</f>
        <v>0</v>
      </c>
      <c r="J22" s="269"/>
      <c r="K22" s="390">
        <f t="shared" ref="K22" si="3">IF(D22="Y",IF(J22="",I22*E22,J22*E22),"")</f>
        <v>0</v>
      </c>
      <c r="L22" s="248" t="str">
        <f>IFERROR(IF(D22="Y",K22/$K$57,0%),"0.0%")</f>
        <v>0.0%</v>
      </c>
      <c r="M22" s="290" t="str">
        <f>VLOOKUP($B22,Activities!$A$10:$S$152,19,FALSE)</f>
        <v>This item covers the cost of a third party called in to determine the extent of work required and to assess the methodology to complete the work and any other design or planning activities required.</v>
      </c>
      <c r="N22" s="233"/>
      <c r="O22" s="136"/>
      <c r="P22" s="378"/>
      <c r="Q22" s="379"/>
      <c r="R22" s="379"/>
      <c r="S22" s="379"/>
      <c r="T22" s="379"/>
      <c r="U22" s="236" t="s">
        <v>264</v>
      </c>
      <c r="V22" s="380"/>
      <c r="W22" s="136"/>
      <c r="X22" s="136"/>
    </row>
    <row r="23" spans="1:24" ht="15.75" customHeight="1" thickBot="1" x14ac:dyDescent="0.3">
      <c r="A23" s="293" t="s">
        <v>53</v>
      </c>
      <c r="B23" s="250" t="str">
        <f>A22</f>
        <v>Preliminaries</v>
      </c>
      <c r="C23" s="251"/>
      <c r="D23" s="252"/>
      <c r="E23" s="253"/>
      <c r="F23" s="252"/>
      <c r="G23" s="252"/>
      <c r="H23" s="252"/>
      <c r="I23" s="353"/>
      <c r="J23" s="354"/>
      <c r="K23" s="256">
        <f>SUM(K22:K22)</f>
        <v>0</v>
      </c>
      <c r="L23" s="252"/>
      <c r="M23" s="257"/>
      <c r="N23" s="233"/>
      <c r="O23" s="136"/>
      <c r="Q23" s="4"/>
      <c r="R23" s="4"/>
      <c r="S23" s="532"/>
      <c r="T23" s="4"/>
      <c r="V23" s="4"/>
      <c r="W23" s="136"/>
      <c r="X23" s="136"/>
    </row>
    <row r="24" spans="1:24" ht="55.5" customHeight="1" thickBot="1" x14ac:dyDescent="0.3">
      <c r="A24" s="1337" t="s">
        <v>262</v>
      </c>
      <c r="B24" s="270"/>
      <c r="C24" s="295" t="s">
        <v>300</v>
      </c>
      <c r="D24" s="239" t="s">
        <v>49</v>
      </c>
      <c r="E24" s="607"/>
      <c r="F24" s="296"/>
      <c r="G24" s="1269"/>
      <c r="H24" s="1270"/>
      <c r="I24" s="355" t="s">
        <v>475</v>
      </c>
      <c r="J24" s="269"/>
      <c r="K24" s="388">
        <f>IF(D24="Y",J24*E24,"")</f>
        <v>0</v>
      </c>
      <c r="L24" s="248" t="str">
        <f>IFERROR(IF(D24="Y",K24/$K$57,0%),"0.0%")</f>
        <v>0.0%</v>
      </c>
      <c r="M24" s="139" t="s">
        <v>68</v>
      </c>
      <c r="N24" s="233"/>
      <c r="O24" s="136"/>
      <c r="W24" s="136"/>
      <c r="X24" s="136"/>
    </row>
    <row r="25" spans="1:24" ht="55.5" customHeight="1" thickBot="1" x14ac:dyDescent="0.3">
      <c r="A25" s="1359"/>
      <c r="B25" s="270"/>
      <c r="C25" s="295" t="s">
        <v>300</v>
      </c>
      <c r="D25" s="239" t="s">
        <v>49</v>
      </c>
      <c r="E25" s="607"/>
      <c r="F25" s="296"/>
      <c r="G25" s="1269"/>
      <c r="H25" s="1270"/>
      <c r="I25" s="355" t="s">
        <v>475</v>
      </c>
      <c r="J25" s="269"/>
      <c r="K25" s="388">
        <f>IF(D25="Y",J25*E25,"")</f>
        <v>0</v>
      </c>
      <c r="L25" s="248" t="str">
        <f>IFERROR(IF(D25="Y",K25/$K$57,0%),"0.0%")</f>
        <v>0.0%</v>
      </c>
      <c r="M25" s="139" t="s">
        <v>68</v>
      </c>
      <c r="N25" s="233"/>
      <c r="O25" s="136"/>
      <c r="W25" s="136"/>
      <c r="X25" s="136"/>
    </row>
    <row r="26" spans="1:24" ht="15.75" customHeight="1" thickBot="1" x14ac:dyDescent="0.3">
      <c r="A26" s="293" t="s">
        <v>53</v>
      </c>
      <c r="B26" s="250" t="str">
        <f>A24</f>
        <v>Define Any Special Treatments for the Pit</v>
      </c>
      <c r="C26" s="251"/>
      <c r="D26" s="252"/>
      <c r="E26" s="253"/>
      <c r="F26" s="252"/>
      <c r="G26" s="252"/>
      <c r="H26" s="252"/>
      <c r="I26" s="353"/>
      <c r="J26" s="354"/>
      <c r="K26" s="256">
        <f>SUM(K24:K25)</f>
        <v>0</v>
      </c>
      <c r="L26" s="252"/>
      <c r="M26" s="257"/>
      <c r="N26" s="233"/>
    </row>
    <row r="27" spans="1:24" ht="61.5" customHeight="1" thickBot="1" x14ac:dyDescent="0.3">
      <c r="A27" s="1333" t="s">
        <v>263</v>
      </c>
      <c r="B27" s="258" t="s">
        <v>87</v>
      </c>
      <c r="C27" s="259" t="str">
        <f>VLOOKUP($B27,Activities!$A$10:$P$152,3,FALSE)</f>
        <v xml:space="preserve">Drill and Blast the top bench to half height </v>
      </c>
      <c r="D27" s="239" t="s">
        <v>49</v>
      </c>
      <c r="E27" s="240"/>
      <c r="F27" s="246" t="str">
        <f>VLOOKUP($B27,Activities!$A$10:$P$152,4,FALSE)</f>
        <v>m3</v>
      </c>
      <c r="G27" s="1269"/>
      <c r="H27" s="1270"/>
      <c r="I27" s="272">
        <f>VLOOKUP($B27,Activities!$A$10:$S$152,16,FALSE)</f>
        <v>3.3924281586577618</v>
      </c>
      <c r="J27" s="269"/>
      <c r="K27" s="388">
        <f t="shared" ref="K27:K29" si="4">IF(D27="Y",IF(J27="",I27*E27,J27*E27),0)</f>
        <v>0</v>
      </c>
      <c r="L27" s="248" t="str">
        <f>IFERROR(IF(D27="Y",K27/$K$58,0%),"0.0%")</f>
        <v>0.0%</v>
      </c>
      <c r="M27" s="290" t="str">
        <f>VLOOKUP($B27,Activities!$A$10:$S$152,19,FALSE)</f>
        <v>This activity provides a greater degree of stability by 'rolling over' the top face.  It also provides a better visual impact and it is possible to spread soil or overburden material to assist in vegetation growth.  For remote sites it may not necessarily add significant value and should be assessed in regards to pit stability and visual impacts.  Alternatively it may be possible to excavate this material rather than blast.</v>
      </c>
      <c r="N27" s="233"/>
    </row>
    <row r="28" spans="1:24" ht="36.75" thickBot="1" x14ac:dyDescent="0.3">
      <c r="A28" s="1334"/>
      <c r="B28" s="258" t="s">
        <v>78</v>
      </c>
      <c r="C28" s="259" t="str">
        <f>VLOOKUP($B28,Activities!$A$10:$P$152,3,FALSE)</f>
        <v xml:space="preserve">Consolidation of loose Stockpiles of Waste and/or Ore </v>
      </c>
      <c r="D28" s="239" t="s">
        <v>49</v>
      </c>
      <c r="E28" s="240"/>
      <c r="F28" s="246" t="str">
        <f>VLOOKUP($B28,Activities!$A$10:$P$152,4,FALSE)</f>
        <v>m3</v>
      </c>
      <c r="G28" s="1269"/>
      <c r="H28" s="1270"/>
      <c r="I28" s="272">
        <f>VLOOKUP($B28,Activities!$A$10:$S$152,16,FALSE)</f>
        <v>3.7418180963331782</v>
      </c>
      <c r="J28" s="269"/>
      <c r="K28" s="388">
        <f t="shared" si="4"/>
        <v>0</v>
      </c>
      <c r="L28" s="248" t="str">
        <f>IFERROR(IF(D28="Y",K28/$K$58,0%),"0.0%")</f>
        <v>0.0%</v>
      </c>
      <c r="M28" s="290" t="str">
        <f>VLOOKUP($B28,Activities!$A$10:$S$152,19,FALSE)</f>
        <v>This activity covers the removal of small stockpiles of waste rock, ROM ore and other stockpiles.  These are consolidated into one waste dump for rehabilitation.</v>
      </c>
      <c r="N28" s="233"/>
      <c r="P28" s="1"/>
      <c r="Q28" s="1"/>
      <c r="R28" s="1"/>
      <c r="S28" s="1"/>
      <c r="T28" s="1"/>
      <c r="U28" s="1"/>
      <c r="V28" s="1"/>
    </row>
    <row r="29" spans="1:24" ht="42.75" customHeight="1" thickBot="1" x14ac:dyDescent="0.3">
      <c r="A29" s="1334"/>
      <c r="B29" s="245" t="s">
        <v>81</v>
      </c>
      <c r="C29" s="259" t="str">
        <f>VLOOKUP($B29,Activities!$A$10:$P$152,3,FALSE)</f>
        <v>Construction of Berm or Barrier to prevent Access</v>
      </c>
      <c r="D29" s="239" t="s">
        <v>49</v>
      </c>
      <c r="E29" s="240"/>
      <c r="F29" s="246" t="str">
        <f>VLOOKUP($B29,Activities!$A$10:$P$152,4,FALSE)</f>
        <v>Lin m</v>
      </c>
      <c r="G29" s="1269"/>
      <c r="H29" s="1270"/>
      <c r="I29" s="273">
        <f>VLOOKUP($B29,Activities!$A$10:$S$152,16,FALSE)</f>
        <v>56.743935369018423</v>
      </c>
      <c r="J29" s="269"/>
      <c r="K29" s="388">
        <f t="shared" si="4"/>
        <v>0</v>
      </c>
      <c r="L29" s="248" t="str">
        <f>IFERROR(IF(D29="Y",K29/$K$58,0%),"0.0%")</f>
        <v>0.0%</v>
      </c>
      <c r="M29" s="290" t="str">
        <f>VLOOKUP($B29,Activities!$A$10:$S$152,19,FALSE)</f>
        <v>The activity covers the construction of a Berm or Barrier to prevent access.  The Barrier is designed to prevent vehicular access and is a significant size to do this.</v>
      </c>
      <c r="N29" s="233"/>
    </row>
    <row r="30" spans="1:24" ht="63" customHeight="1" thickBot="1" x14ac:dyDescent="0.3">
      <c r="A30" s="1334"/>
      <c r="B30" s="614" t="s">
        <v>16</v>
      </c>
      <c r="C30" s="259" t="str">
        <f>VLOOKUP($B30,Activities!$A$10:$P$152,3,FALSE)</f>
        <v>Load and haul of mined, processed, stockpiled materials or topsoil</v>
      </c>
      <c r="D30" s="239" t="s">
        <v>49</v>
      </c>
      <c r="E30" s="240"/>
      <c r="F30" s="246" t="str">
        <f>VLOOKUP($B30,Activities!$A$10:$P$152,4,FALSE)</f>
        <v>m3</v>
      </c>
      <c r="G30" s="313" t="s">
        <v>51</v>
      </c>
      <c r="H30" s="167" t="s">
        <v>264</v>
      </c>
      <c r="I30" s="272">
        <f>VLOOKUP(H30,U3:V7,2)</f>
        <v>0</v>
      </c>
      <c r="J30" s="612"/>
      <c r="K30" s="613">
        <f>IF(D30="Y",IF(J30="",I30*E30,J30*E30),"")</f>
        <v>0</v>
      </c>
      <c r="L30" s="248" t="str">
        <f>IFERROR(IF(D30="Y",K30/$K$66,0%),"0.0%")</f>
        <v>0.0%</v>
      </c>
      <c r="M30" s="290" t="str">
        <f>VLOOKUP($B30,Activities!$A$10:$S$152,19,FALSE)</f>
        <v>This activity involves loading into a truck of material previously mined, processed material or topsoil, and hauling a selected distance.</v>
      </c>
      <c r="N30" s="233"/>
      <c r="O30" s="47"/>
    </row>
    <row r="31" spans="1:24" ht="63" customHeight="1" thickBot="1" x14ac:dyDescent="0.3">
      <c r="A31" s="1334"/>
      <c r="B31" s="245" t="s">
        <v>17</v>
      </c>
      <c r="C31" s="259" t="str">
        <f>VLOOKUP($B31,Activities!$A$10:$P$152,3,FALSE)</f>
        <v xml:space="preserve">Excavation of earthen materials from local borrow pits, plus haulage </v>
      </c>
      <c r="D31" s="239" t="s">
        <v>49</v>
      </c>
      <c r="E31" s="240"/>
      <c r="F31" s="246" t="str">
        <f>VLOOKUP($B31,Activities!$A$10:$P$152,4,FALSE)</f>
        <v>m3</v>
      </c>
      <c r="G31" s="313" t="s">
        <v>51</v>
      </c>
      <c r="H31" s="140" t="s">
        <v>264</v>
      </c>
      <c r="I31" s="272">
        <f>VLOOKUP(H31,U10:V14,2)</f>
        <v>0</v>
      </c>
      <c r="J31" s="269"/>
      <c r="K31" s="388">
        <f t="shared" ref="K31" si="5">IF(D31="Y",IF(J31="",I31*E31,J31*E31),"")</f>
        <v>0</v>
      </c>
      <c r="L31" s="248" t="str">
        <f>IFERROR(IF(D31="Y",K31/$K$57,0%),"0.0%")</f>
        <v>0.0%</v>
      </c>
      <c r="M31" s="290" t="str">
        <f>VLOOKUP($B31,Activities!$A$10:$S$152,19,FALSE)</f>
        <v>This activity involves the excavation of earthern material from a local borrow pit and the loading of that material into a truck.  Haulage cost based on distance hauled.</v>
      </c>
      <c r="N31" s="233"/>
      <c r="O31" s="47"/>
      <c r="P31" s="233"/>
      <c r="Q31" s="233"/>
      <c r="R31" s="233"/>
      <c r="S31" s="233"/>
      <c r="T31" s="233"/>
      <c r="U31" s="233"/>
      <c r="V31" s="233"/>
    </row>
    <row r="32" spans="1:24" ht="54" customHeight="1" thickBot="1" x14ac:dyDescent="0.3">
      <c r="A32" s="1334"/>
      <c r="B32" s="245" t="s">
        <v>18</v>
      </c>
      <c r="C32" s="259" t="str">
        <f>VLOOKUP($B32,Activities!$A$10:$P$152,3,FALSE)</f>
        <v>Spreading Materials on ground or an open area excluding compaction (&gt;1,000m3)</v>
      </c>
      <c r="D32" s="239" t="s">
        <v>49</v>
      </c>
      <c r="E32" s="240"/>
      <c r="F32" s="246" t="str">
        <f>VLOOKUP($B32,Activities!$A$10:$P$152,4,FALSE)</f>
        <v>m3</v>
      </c>
      <c r="G32" s="1269"/>
      <c r="H32" s="1270"/>
      <c r="I32" s="272">
        <f>VLOOKUP($B32,Activities!$A$10:$S$152,16,FALSE)</f>
        <v>1.0890037105820705</v>
      </c>
      <c r="J32" s="269"/>
      <c r="K32" s="388">
        <f t="shared" ref="K32:K37" si="6">IF(D32="Y",IF(J32="",I32*E32,J32*E32),0)</f>
        <v>0</v>
      </c>
      <c r="L32" s="248" t="str">
        <f t="shared" ref="L32:L37" si="7">IFERROR(IF(D32="Y",K32/$K$58,0%),"0.0%")</f>
        <v>0.0%</v>
      </c>
      <c r="M32" s="290" t="str">
        <f>VLOOKUP($B32,Activities!$A$10:$S$152,19,FALSE)</f>
        <v xml:space="preserve">This activity involves the spreading of material that has been transported and dumped at the work area. </v>
      </c>
      <c r="N32" s="233"/>
      <c r="O32" s="47"/>
      <c r="P32" s="136"/>
      <c r="Q32" s="136"/>
      <c r="R32" s="136"/>
      <c r="S32" s="136"/>
      <c r="T32" s="136"/>
      <c r="U32" s="136"/>
      <c r="V32" s="136"/>
    </row>
    <row r="33" spans="1:19" ht="54" customHeight="1" thickBot="1" x14ac:dyDescent="0.3">
      <c r="A33" s="1334"/>
      <c r="B33" s="245" t="s">
        <v>79</v>
      </c>
      <c r="C33" s="259" t="str">
        <f>VLOOKUP($B33,Activities!$A$10:$P$152,3,FALSE)</f>
        <v>Minor Shaping across a Dump or Disturbed Area</v>
      </c>
      <c r="D33" s="239" t="s">
        <v>49</v>
      </c>
      <c r="E33" s="240"/>
      <c r="F33" s="246" t="str">
        <f>VLOOKUP($B33,Activities!$A$10:$P$152,4,FALSE)</f>
        <v>Ha</v>
      </c>
      <c r="G33" s="1269"/>
      <c r="H33" s="1270"/>
      <c r="I33" s="273">
        <f>VLOOKUP($B33,Activities!$A$10:$S$152,16,FALSE)</f>
        <v>2987.2221197728068</v>
      </c>
      <c r="J33" s="269"/>
      <c r="K33" s="388">
        <f t="shared" si="6"/>
        <v>0</v>
      </c>
      <c r="L33" s="248" t="str">
        <f t="shared" si="7"/>
        <v>0.0%</v>
      </c>
      <c r="M33" s="290" t="str">
        <f>VLOOKUP($B33,Activities!$A$10:$S$152,19,FALSE)</f>
        <v xml:space="preserve">This activity covers minor shaping shifting pushing across a dump or disturbed area.  It is based on a rate per hectare.  It covers area where there needs to be some clearing work, tidying up of disturbed ground,  but not just bulk pushing </v>
      </c>
      <c r="N33" s="233"/>
      <c r="O33" s="47"/>
    </row>
    <row r="34" spans="1:19" ht="54" customHeight="1" thickBot="1" x14ac:dyDescent="0.3">
      <c r="A34" s="1334"/>
      <c r="B34" s="102" t="s">
        <v>13</v>
      </c>
      <c r="C34" s="259" t="str">
        <f>VLOOKUP($B34,Activities!$A$10:$P$152,3,FALSE)</f>
        <v>Major Bulk Pushing/Dozing to achieve Final Land Forms</v>
      </c>
      <c r="D34" s="239" t="s">
        <v>49</v>
      </c>
      <c r="E34" s="240"/>
      <c r="F34" s="246" t="str">
        <f>VLOOKUP($B34,Activities!$A$10:$P$152,4,FALSE)</f>
        <v>m3</v>
      </c>
      <c r="G34" s="1269"/>
      <c r="H34" s="1270"/>
      <c r="I34" s="272">
        <f>VLOOKUP($B34,Activities!$A$10:$S$152,16,FALSE)</f>
        <v>0.96390609627070267</v>
      </c>
      <c r="J34" s="269"/>
      <c r="K34" s="388">
        <f t="shared" si="6"/>
        <v>0</v>
      </c>
      <c r="L34" s="248" t="str">
        <f t="shared" si="7"/>
        <v>0.0%</v>
      </c>
      <c r="M34" s="290" t="str">
        <f>VLOOKUP($B34,Activities!$A$10:$S$152,19,FALSE)</f>
        <v>This unit cost covers the use of a dozer to push material within reasonable confines to achieve a Final Land Form.  It is often undertaken prior to covering a tailing storage facility</v>
      </c>
      <c r="N34" s="233"/>
    </row>
    <row r="35" spans="1:19" ht="54" customHeight="1" thickBot="1" x14ac:dyDescent="0.3">
      <c r="A35" s="1334"/>
      <c r="B35" s="258" t="s">
        <v>80</v>
      </c>
      <c r="C35" s="259" t="str">
        <f>VLOOKUP($B35,Activities!$A$10:$P$152,3,FALSE)</f>
        <v>Construction of Water Run-off Management Structures and/or Dams</v>
      </c>
      <c r="D35" s="239" t="s">
        <v>49</v>
      </c>
      <c r="E35" s="240"/>
      <c r="F35" s="246" t="str">
        <f>VLOOKUP($B35,Activities!$A$10:$P$152,4,FALSE)</f>
        <v>Ha</v>
      </c>
      <c r="G35" s="1269"/>
      <c r="H35" s="1270"/>
      <c r="I35" s="273">
        <f>VLOOKUP($B35,Activities!$A$10:$S$152,16,FALSE)</f>
        <v>7806.9613461745139</v>
      </c>
      <c r="J35" s="269"/>
      <c r="K35" s="388">
        <f t="shared" si="6"/>
        <v>0</v>
      </c>
      <c r="L35" s="248" t="str">
        <f t="shared" si="7"/>
        <v>0.0%</v>
      </c>
      <c r="M35" s="290" t="str">
        <f>VLOOKUP($B35,Activities!$A$10:$S$152,19,FALSE)</f>
        <v>This activity is a general activity and it involves shaping of critical areas, the construction of minor water management drains, rock lining of the drains, dams and diversion channels to manage water run-off from the area. It is based on a rate per hectare (based only on the hectares associated with the run-off management) and includes channel excavation, rock lining and minor dam construction.  (Operator may prefer to better define this activity)</v>
      </c>
      <c r="N35" s="233"/>
    </row>
    <row r="36" spans="1:19" ht="54" customHeight="1" thickBot="1" x14ac:dyDescent="0.3">
      <c r="A36" s="1334"/>
      <c r="B36" s="258" t="s">
        <v>92</v>
      </c>
      <c r="C36" s="259" t="str">
        <f>VLOOKUP($B36,Activities!$A$10:$P$152,3,FALSE)</f>
        <v xml:space="preserve">Construction of a 6' chain mesh security fience around the perimeter </v>
      </c>
      <c r="D36" s="239" t="s">
        <v>49</v>
      </c>
      <c r="E36" s="240"/>
      <c r="F36" s="246" t="str">
        <f>VLOOKUP($B36,Activities!$A$10:$P$152,4,FALSE)</f>
        <v>km</v>
      </c>
      <c r="G36" s="1269"/>
      <c r="H36" s="1270"/>
      <c r="I36" s="273">
        <f>VLOOKUP($B36,Activities!$A$10:$S$152,16,FALSE)</f>
        <v>78632.004774033849</v>
      </c>
      <c r="J36" s="269"/>
      <c r="K36" s="388">
        <f t="shared" si="6"/>
        <v>0</v>
      </c>
      <c r="L36" s="248" t="str">
        <f t="shared" si="7"/>
        <v>0.0%</v>
      </c>
      <c r="M36" s="290" t="str">
        <f>VLOOKUP($B36,Activities!$A$10:$S$152,19,FALSE)</f>
        <v>This activity involves the construction of a chain mesh security fence to restrict and prevent access.   It includes an allowance for gates.</v>
      </c>
      <c r="N36" s="233"/>
    </row>
    <row r="37" spans="1:19" ht="54" customHeight="1" thickBot="1" x14ac:dyDescent="0.3">
      <c r="A37" s="1335"/>
      <c r="B37" s="258" t="s">
        <v>25</v>
      </c>
      <c r="C37" s="259" t="str">
        <f>VLOOKUP($B37,Activities!$A$10:$P$152,3,FALSE)</f>
        <v xml:space="preserve">Construction of a stock proof fence including appropriate gates </v>
      </c>
      <c r="D37" s="239" t="s">
        <v>49</v>
      </c>
      <c r="E37" s="240"/>
      <c r="F37" s="246" t="str">
        <f>VLOOKUP($B37,Activities!$A$10:$P$152,4,FALSE)</f>
        <v>km</v>
      </c>
      <c r="G37" s="1269"/>
      <c r="H37" s="1270"/>
      <c r="I37" s="273">
        <f>VLOOKUP($B37,Activities!$A$10:$S$152,16,FALSE)</f>
        <v>13302.992584007126</v>
      </c>
      <c r="J37" s="269"/>
      <c r="K37" s="388">
        <f t="shared" si="6"/>
        <v>0</v>
      </c>
      <c r="L37" s="248" t="str">
        <f t="shared" si="7"/>
        <v>0.0%</v>
      </c>
      <c r="M37" s="290" t="str">
        <f>VLOOKUP($B37,Activities!$A$10:$S$152,19,FALSE)</f>
        <v>This activity involves the construction of a stock proof fence to protect revegetation against stock and to provide an obstacle to persons to prevent inadvertant access.  It is not designed to prevent a person climbing over it.  It includes an allowance for gates.</v>
      </c>
      <c r="N37" s="233"/>
    </row>
    <row r="38" spans="1:19" ht="16.5" thickBot="1" x14ac:dyDescent="0.3">
      <c r="A38" s="293" t="s">
        <v>53</v>
      </c>
      <c r="B38" s="250" t="str">
        <f>A27</f>
        <v>Primary Earthworks and Shaping of the Pit</v>
      </c>
      <c r="C38" s="251"/>
      <c r="D38" s="252"/>
      <c r="E38" s="253"/>
      <c r="F38" s="252"/>
      <c r="G38" s="252"/>
      <c r="H38" s="252"/>
      <c r="I38" s="353"/>
      <c r="J38" s="354"/>
      <c r="K38" s="256">
        <f>SUM(K27:K37)</f>
        <v>0</v>
      </c>
      <c r="L38" s="252"/>
      <c r="M38" s="257"/>
      <c r="N38" s="233"/>
      <c r="P38" s="47"/>
      <c r="Q38" s="47"/>
      <c r="R38" s="47"/>
      <c r="S38" s="47"/>
    </row>
    <row r="39" spans="1:19" ht="51" customHeight="1" thickBot="1" x14ac:dyDescent="0.3">
      <c r="A39" s="1333" t="s">
        <v>490</v>
      </c>
      <c r="B39" s="245" t="s">
        <v>70</v>
      </c>
      <c r="C39" s="259" t="str">
        <f>VLOOKUP($B39,Activities!$A$10:$P$152,3,FALSE)</f>
        <v>Sourcing, Carting and Spreading of Topsoil over an Area</v>
      </c>
      <c r="D39" s="239" t="s">
        <v>49</v>
      </c>
      <c r="E39" s="346"/>
      <c r="F39" s="246" t="str">
        <f>VLOOKUP($B39,Activities!$A$10:$P$152,4,FALSE)</f>
        <v>m3</v>
      </c>
      <c r="G39" s="313" t="s">
        <v>51</v>
      </c>
      <c r="H39" s="140" t="s">
        <v>264</v>
      </c>
      <c r="I39" s="272">
        <f>VLOOKUP(H39,U18:V22,2)</f>
        <v>0</v>
      </c>
      <c r="J39" s="269"/>
      <c r="K39" s="388">
        <f>IF(D39="Y",IF(J39="",I39*E39,J39*E39),"")</f>
        <v>0</v>
      </c>
      <c r="L39" s="248" t="str">
        <f>IFERROR(IF(D39="Y",K39/$K$57,0%),"0.0%")</f>
        <v>0.0%</v>
      </c>
      <c r="M39" s="290" t="str">
        <f>VLOOKUP($B39,Activities!$A$10:$S$152,19,FALSE)</f>
        <v>This activity covers the sourcing of topsoil or suitable growth medium, transporting from the source to the required area and then spreading it over that area.</v>
      </c>
      <c r="N39" s="233"/>
      <c r="P39" s="47"/>
      <c r="Q39" s="47"/>
      <c r="R39" s="47"/>
      <c r="S39" s="47"/>
    </row>
    <row r="40" spans="1:19" ht="52.5" customHeight="1" thickBot="1" x14ac:dyDescent="0.3">
      <c r="A40" s="1334"/>
      <c r="B40" s="245" t="s">
        <v>21</v>
      </c>
      <c r="C40" s="259" t="str">
        <f>VLOOKUP($B40,Activities!$A$10:$P$152,3,FALSE)</f>
        <v>Scarification to promote vegetation growth</v>
      </c>
      <c r="D40" s="239" t="s">
        <v>49</v>
      </c>
      <c r="E40" s="346"/>
      <c r="F40" s="246" t="str">
        <f>VLOOKUP($B40,Activities!$A$10:$P$152,4,FALSE)</f>
        <v>Ha</v>
      </c>
      <c r="G40" s="1269"/>
      <c r="H40" s="1270"/>
      <c r="I40" s="273">
        <f>VLOOKUP($B40,Activities!$A$10:$S$152,16,FALSE)</f>
        <v>323.54530924221694</v>
      </c>
      <c r="J40" s="269"/>
      <c r="K40" s="388">
        <f>IF(D40="Y",IF(J40="",I40*E40,J40*E40),"")</f>
        <v>0</v>
      </c>
      <c r="L40" s="248" t="str">
        <f>IFERROR(IF(D40="Y",K40/$K$57,0%),"0.0%")</f>
        <v>0.0%</v>
      </c>
      <c r="M40" s="290" t="str">
        <f>VLOOKUP($B40,Activities!$A$10:$S$152,19,FALSE)</f>
        <v xml:space="preserve">This activity is undertaken in preparation for the seeding of a particular area.  </v>
      </c>
      <c r="N40" s="233"/>
      <c r="P40" s="47"/>
      <c r="Q40" s="47"/>
      <c r="R40" s="47"/>
      <c r="S40" s="47"/>
    </row>
    <row r="41" spans="1:19" ht="52.5" customHeight="1" thickBot="1" x14ac:dyDescent="0.3">
      <c r="A41" s="1334"/>
      <c r="B41" s="245" t="s">
        <v>626</v>
      </c>
      <c r="C41" s="259" t="str">
        <f>VLOOKUP($B41,Activities!$A$10:$P$152,3,FALSE)</f>
        <v>Purchase and single application of ground ameliorants (e.g. gypsum)</v>
      </c>
      <c r="D41" s="239" t="s">
        <v>49</v>
      </c>
      <c r="E41" s="320"/>
      <c r="F41" s="246" t="str">
        <f>VLOOKUP($B41,Activities!$A$10:$P$152,4,FALSE)</f>
        <v>Ha</v>
      </c>
      <c r="G41" s="1269"/>
      <c r="H41" s="1270"/>
      <c r="I41" s="273">
        <f>VLOOKUP($B41,Activities!$A$10:$S$152,16,FALSE)</f>
        <v>877.38983538153695</v>
      </c>
      <c r="J41" s="269"/>
      <c r="K41" s="388">
        <f t="shared" ref="K41:K49" si="8">IF(D41="Y",IF(J41="",I41*E41,J41*E41),0)</f>
        <v>0</v>
      </c>
      <c r="L41" s="248" t="str">
        <f t="shared" ref="L41:L49" si="9">IFERROR(IF(D41="Y",K41/$K$58,0%),"0.0%")</f>
        <v>0.0%</v>
      </c>
      <c r="M41" s="290" t="str">
        <f>VLOOKUP($B41,Activities!$A$10:$S$152,19,FALSE)</f>
        <v>This Activity includes the purchase and single application of ground ameliorants (e.g. gypsum).</v>
      </c>
      <c r="N41" s="233"/>
      <c r="P41" s="47"/>
      <c r="Q41" s="47"/>
      <c r="R41" s="47"/>
      <c r="S41" s="47"/>
    </row>
    <row r="42" spans="1:19" ht="52.5" customHeight="1" thickBot="1" x14ac:dyDescent="0.3">
      <c r="A42" s="1334"/>
      <c r="B42" s="245" t="s">
        <v>627</v>
      </c>
      <c r="C42" s="259" t="str">
        <f>VLOOKUP($B42,Activities!$A$10:$P$152,3,FALSE)</f>
        <v>The purchase only of non-native pasture grasses</v>
      </c>
      <c r="D42" s="239" t="s">
        <v>49</v>
      </c>
      <c r="E42" s="320"/>
      <c r="F42" s="246" t="str">
        <f>VLOOKUP($B42,Activities!$A$10:$P$152,4,FALSE)</f>
        <v>Ha</v>
      </c>
      <c r="G42" s="1269"/>
      <c r="H42" s="1270"/>
      <c r="I42" s="273">
        <f>VLOOKUP($B42,Activities!$A$10:$S$152,16,FALSE)</f>
        <v>1774.5180283018869</v>
      </c>
      <c r="J42" s="269"/>
      <c r="K42" s="388">
        <f t="shared" si="8"/>
        <v>0</v>
      </c>
      <c r="L42" s="248" t="str">
        <f t="shared" si="9"/>
        <v>0.0%</v>
      </c>
      <c r="M42" s="290" t="str">
        <f>VLOOKUP($B42,Activities!$A$10:$S$152,19,FALSE)</f>
        <v>This activity covers the purchase of non-native pasture grasses</v>
      </c>
      <c r="N42" s="233"/>
    </row>
    <row r="43" spans="1:19" ht="52.5" customHeight="1" thickBot="1" x14ac:dyDescent="0.3">
      <c r="A43" s="1334"/>
      <c r="B43" s="245" t="s">
        <v>628</v>
      </c>
      <c r="C43" s="259" t="str">
        <f>VLOOKUP($B43,Activities!$A$10:$P$152,3,FALSE)</f>
        <v>The purchase only of general native seed mix</v>
      </c>
      <c r="D43" s="239" t="s">
        <v>49</v>
      </c>
      <c r="E43" s="320"/>
      <c r="F43" s="246" t="str">
        <f>VLOOKUP($B43,Activities!$A$10:$P$152,4,FALSE)</f>
        <v>Ha</v>
      </c>
      <c r="G43" s="1269"/>
      <c r="H43" s="1270"/>
      <c r="I43" s="273">
        <f>VLOOKUP($B43,Activities!$A$10:$S$152,16,FALSE)</f>
        <v>3439.8717452830197</v>
      </c>
      <c r="J43" s="269"/>
      <c r="K43" s="388">
        <f t="shared" si="8"/>
        <v>0</v>
      </c>
      <c r="L43" s="248" t="str">
        <f t="shared" si="9"/>
        <v>0.0%</v>
      </c>
      <c r="M43" s="290" t="str">
        <f>VLOOKUP($B43,Activities!$A$10:$S$152,19,FALSE)</f>
        <v>This activity covers the purchase of general native seed mix</v>
      </c>
      <c r="N43" s="233"/>
    </row>
    <row r="44" spans="1:19" ht="52.5" customHeight="1" thickBot="1" x14ac:dyDescent="0.3">
      <c r="A44" s="1334"/>
      <c r="B44" s="245" t="s">
        <v>629</v>
      </c>
      <c r="C44" s="259" t="str">
        <f>VLOOKUP($B44,Activities!$A$10:$P$152,3,FALSE)</f>
        <v>The purchase only of local provenance native seed mix</v>
      </c>
      <c r="D44" s="239" t="s">
        <v>49</v>
      </c>
      <c r="E44" s="320"/>
      <c r="F44" s="246" t="str">
        <f>VLOOKUP($B44,Activities!$A$10:$P$152,4,FALSE)</f>
        <v>Ha</v>
      </c>
      <c r="G44" s="1269"/>
      <c r="H44" s="1270"/>
      <c r="I44" s="273">
        <f>VLOOKUP($B44,Activities!$A$10:$S$152,16,FALSE)</f>
        <v>10525.680933962265</v>
      </c>
      <c r="J44" s="269"/>
      <c r="K44" s="388">
        <f t="shared" si="8"/>
        <v>0</v>
      </c>
      <c r="L44" s="248" t="str">
        <f t="shared" si="9"/>
        <v>0.0%</v>
      </c>
      <c r="M44" s="290" t="str">
        <f>VLOOKUP($B44,Activities!$A$10:$S$152,19,FALSE)</f>
        <v>This activity covers the purchase of local provenance native seed mix</v>
      </c>
      <c r="N44" s="233"/>
    </row>
    <row r="45" spans="1:19" ht="52.5" customHeight="1" thickBot="1" x14ac:dyDescent="0.3">
      <c r="A45" s="1334"/>
      <c r="B45" s="245" t="s">
        <v>630</v>
      </c>
      <c r="C45" s="259" t="str">
        <f>VLOOKUP($B45,Activities!$A$10:$P$152,3,FALSE)</f>
        <v>The purchase only of fertiliser for broadcast application</v>
      </c>
      <c r="D45" s="239" t="s">
        <v>49</v>
      </c>
      <c r="E45" s="320"/>
      <c r="F45" s="246" t="str">
        <f>VLOOKUP($B45,Activities!$A$10:$P$152,4,FALSE)</f>
        <v>Ha</v>
      </c>
      <c r="G45" s="1269"/>
      <c r="H45" s="1270"/>
      <c r="I45" s="273">
        <f>VLOOKUP($B45,Activities!$A$10:$S$152,16,FALSE)</f>
        <v>613.30500000000006</v>
      </c>
      <c r="J45" s="269"/>
      <c r="K45" s="388">
        <f t="shared" si="8"/>
        <v>0</v>
      </c>
      <c r="L45" s="248" t="str">
        <f t="shared" si="9"/>
        <v>0.0%</v>
      </c>
      <c r="M45" s="290" t="str">
        <f>VLOOKUP($B45,Activities!$A$10:$S$152,19,FALSE)</f>
        <v>This activity covers the purchase of local fertiliser for broadcast application.  It does not inlcude the application.</v>
      </c>
      <c r="N45" s="233"/>
    </row>
    <row r="46" spans="1:19" ht="52.5" customHeight="1" thickBot="1" x14ac:dyDescent="0.3">
      <c r="A46" s="1334"/>
      <c r="B46" s="245" t="s">
        <v>631</v>
      </c>
      <c r="C46" s="259" t="str">
        <f>VLOOKUP($B46,Activities!$A$10:$P$152,3,FALSE)</f>
        <v>The purchase of native tubestock (including slow release fertiliser)</v>
      </c>
      <c r="D46" s="239" t="s">
        <v>49</v>
      </c>
      <c r="E46" s="320"/>
      <c r="F46" s="246" t="str">
        <f>VLOOKUP($B46,Activities!$A$10:$P$152,4,FALSE)</f>
        <v>Ha</v>
      </c>
      <c r="G46" s="1269"/>
      <c r="H46" s="1270"/>
      <c r="I46" s="273">
        <f>VLOOKUP($B46,Activities!$A$10:$S$152,16,FALSE)</f>
        <v>19729.952830188682</v>
      </c>
      <c r="J46" s="269"/>
      <c r="K46" s="388">
        <f t="shared" si="8"/>
        <v>0</v>
      </c>
      <c r="L46" s="248" t="str">
        <f t="shared" si="9"/>
        <v>0.0%</v>
      </c>
      <c r="M46" s="290" t="str">
        <f>VLOOKUP($B46,Activities!$A$10:$S$152,19,FALSE)</f>
        <v>The Activity includes the purchase of native tubestock (including slow release fertiliser).  It does not include planting.</v>
      </c>
      <c r="N46" s="233"/>
    </row>
    <row r="47" spans="1:19" ht="52.5" customHeight="1" thickBot="1" x14ac:dyDescent="0.3">
      <c r="A47" s="1334"/>
      <c r="B47" s="245" t="s">
        <v>632</v>
      </c>
      <c r="C47" s="259" t="str">
        <f>VLOOKUP($B47,Activities!$A$10:$P$152,3,FALSE)</f>
        <v>Direct seeding along rip line or mechanical broadcast seeding</v>
      </c>
      <c r="D47" s="239" t="s">
        <v>49</v>
      </c>
      <c r="E47" s="320"/>
      <c r="F47" s="246" t="str">
        <f>VLOOKUP($B47,Activities!$A$10:$P$152,4,FALSE)</f>
        <v>Ha</v>
      </c>
      <c r="G47" s="1269"/>
      <c r="H47" s="1270"/>
      <c r="I47" s="273">
        <f>VLOOKUP($B47,Activities!$A$10:$S$152,16,FALSE)</f>
        <v>2100.7838269402318</v>
      </c>
      <c r="J47" s="269"/>
      <c r="K47" s="388">
        <f t="shared" si="8"/>
        <v>0</v>
      </c>
      <c r="L47" s="248" t="str">
        <f t="shared" si="9"/>
        <v>0.0%</v>
      </c>
      <c r="M47" s="290" t="str">
        <f>VLOOKUP($B47,Activities!$A$10:$S$152,19,FALSE)</f>
        <v>Sowing of separately purchased seed and or fertiliser for broadcast application that involves scattering seed, by hand or mechanically, over a relatively large area.</v>
      </c>
      <c r="N47" s="233"/>
    </row>
    <row r="48" spans="1:19" ht="52.5" customHeight="1" thickBot="1" x14ac:dyDescent="0.3">
      <c r="A48" s="1334"/>
      <c r="B48" s="245" t="s">
        <v>633</v>
      </c>
      <c r="C48" s="259" t="str">
        <f>VLOOKUP($B48,Activities!$A$10:$P$152,3,FALSE)</f>
        <v>Hydromulching (does not include seed or fertiliser)</v>
      </c>
      <c r="D48" s="239" t="s">
        <v>49</v>
      </c>
      <c r="E48" s="240"/>
      <c r="F48" s="246" t="str">
        <f>VLOOKUP($B48,Activities!$A$10:$P$152,4,FALSE)</f>
        <v>Ha</v>
      </c>
      <c r="G48" s="1269"/>
      <c r="H48" s="1270"/>
      <c r="I48" s="273">
        <f>VLOOKUP($B48,Activities!$A$10:$S$152,16,FALSE)</f>
        <v>1583.2664818030244</v>
      </c>
      <c r="J48" s="269"/>
      <c r="K48" s="388">
        <f t="shared" si="8"/>
        <v>0</v>
      </c>
      <c r="L48" s="248" t="str">
        <f t="shared" si="9"/>
        <v>0.0%</v>
      </c>
      <c r="M48" s="290" t="str">
        <f>VLOOKUP($B48,Activities!$A$10:$S$152,19,FALSE)</f>
        <v>Hydromulching planting process that uses a slurry of seed and mulch. It is often used as an erosion control technique as an alternative to the traditional process of broadcasting or sowing dry seed.</v>
      </c>
      <c r="N48" s="233"/>
    </row>
    <row r="49" spans="1:14" ht="52.5" customHeight="1" thickBot="1" x14ac:dyDescent="0.3">
      <c r="A49" s="1335"/>
      <c r="B49" s="245" t="s">
        <v>717</v>
      </c>
      <c r="C49" s="259" t="str">
        <f>VLOOKUP($B49,Activities!$A$10:$P$152,3,FALSE)</f>
        <v>Planting of tubestock &lt;15cm (assumes 1,000 plants per hectare)</v>
      </c>
      <c r="D49" s="239" t="s">
        <v>49</v>
      </c>
      <c r="E49" s="240"/>
      <c r="F49" s="246" t="str">
        <f>VLOOKUP($B49,Activities!$A$10:$P$152,4,FALSE)</f>
        <v>Ha</v>
      </c>
      <c r="G49" s="1269"/>
      <c r="H49" s="1270"/>
      <c r="I49" s="273">
        <f>VLOOKUP($B49,Activities!$A$10:$S$152,16,FALSE)</f>
        <v>1714.118869047619</v>
      </c>
      <c r="J49" s="269"/>
      <c r="K49" s="388">
        <f t="shared" si="8"/>
        <v>0</v>
      </c>
      <c r="L49" s="248" t="str">
        <f t="shared" si="9"/>
        <v>0.0%</v>
      </c>
      <c r="M49" s="290" t="str">
        <f>VLOOKUP($B49,Activities!$A$10:$S$152,19,FALSE)</f>
        <v>This Activity covers the hand planting of tubestock plants across a broad area.</v>
      </c>
      <c r="N49" s="233"/>
    </row>
    <row r="50" spans="1:14" ht="16.5" thickBot="1" x14ac:dyDescent="0.3">
      <c r="A50" s="293" t="s">
        <v>53</v>
      </c>
      <c r="B50" s="250" t="str">
        <f>A39</f>
        <v>Topsoil Preparation and Revegetation of the Area</v>
      </c>
      <c r="C50" s="251"/>
      <c r="D50" s="252"/>
      <c r="E50" s="253"/>
      <c r="F50" s="252"/>
      <c r="G50" s="252"/>
      <c r="H50" s="252"/>
      <c r="I50" s="353"/>
      <c r="J50" s="354"/>
      <c r="K50" s="256">
        <f>SUM(K39:K49)</f>
        <v>0</v>
      </c>
      <c r="L50" s="252"/>
      <c r="M50" s="257"/>
      <c r="N50" s="233"/>
    </row>
    <row r="51" spans="1:14" ht="58.5" customHeight="1" thickBot="1" x14ac:dyDescent="0.3">
      <c r="A51" s="1333" t="s">
        <v>491</v>
      </c>
      <c r="B51" s="245" t="s">
        <v>451</v>
      </c>
      <c r="C51" s="259" t="str">
        <f>VLOOKUP($B51,Activities!$A$10:$P$152,3,FALSE)</f>
        <v>Construction of Water Diversion Channels/Drains</v>
      </c>
      <c r="D51" s="239" t="s">
        <v>49</v>
      </c>
      <c r="E51" s="240"/>
      <c r="F51" s="246" t="str">
        <f>VLOOKUP($B51,Activities!$A$10:$P$152,4,FALSE)</f>
        <v>lin m</v>
      </c>
      <c r="G51" s="1269"/>
      <c r="H51" s="1270"/>
      <c r="I51" s="272">
        <f>VLOOKUP($B51,Activities!$A$10:$S$152,16,FALSE)</f>
        <v>99.880946449499689</v>
      </c>
      <c r="J51" s="269"/>
      <c r="K51" s="388">
        <f t="shared" ref="K51" si="10">IF(D51="Y",IF(J51="",I51*E51,J51*E51),0)</f>
        <v>0</v>
      </c>
      <c r="L51" s="248" t="str">
        <f t="shared" ref="L51" si="11">IFERROR(IF(D51="Y",K51/$K$58,0%),"0.0%")</f>
        <v>0.0%</v>
      </c>
      <c r="M51" s="290" t="str">
        <f>VLOOKUP($B51,Activities!$A$10:$S$152,19,FALSE)</f>
        <v xml:space="preserve">The activity covers the occasions when it is necessary to construct a diversion channel to either divert water away from an area or to channel water from one area to another.  The assumption is that the level of water flowing through the channel is limited rather than a creek flow or major outflow.  Some allowance has been made for the incorporation of minor rock or velocity limiting structures but not major spillways or energy dissipaters. </v>
      </c>
      <c r="N51" s="233"/>
    </row>
    <row r="52" spans="1:14" ht="47.25" customHeight="1" thickBot="1" x14ac:dyDescent="0.3">
      <c r="A52" s="1334"/>
      <c r="B52" s="270"/>
      <c r="C52" s="218" t="s">
        <v>55</v>
      </c>
      <c r="D52" s="239" t="s">
        <v>49</v>
      </c>
      <c r="E52" s="346"/>
      <c r="F52" s="296"/>
      <c r="G52" s="1269"/>
      <c r="H52" s="1270"/>
      <c r="I52" s="355" t="s">
        <v>475</v>
      </c>
      <c r="J52" s="269"/>
      <c r="K52" s="388">
        <f>IF(D52="Y",J52*E52,"")</f>
        <v>0</v>
      </c>
      <c r="L52" s="248" t="str">
        <f>IFERROR(IF(D52="Y",K52/$K$57,0%),"0.0%")</f>
        <v>0.0%</v>
      </c>
      <c r="M52" s="139" t="s">
        <v>56</v>
      </c>
      <c r="N52" s="233"/>
    </row>
    <row r="53" spans="1:14" ht="47.25" customHeight="1" thickBot="1" x14ac:dyDescent="0.3">
      <c r="A53" s="1334"/>
      <c r="B53" s="270"/>
      <c r="C53" s="218" t="s">
        <v>55</v>
      </c>
      <c r="D53" s="239" t="s">
        <v>49</v>
      </c>
      <c r="E53" s="346"/>
      <c r="F53" s="296"/>
      <c r="G53" s="1269"/>
      <c r="H53" s="1270"/>
      <c r="I53" s="355" t="s">
        <v>475</v>
      </c>
      <c r="J53" s="269"/>
      <c r="K53" s="388">
        <f>IF(D53="Y",J53*E53,"")</f>
        <v>0</v>
      </c>
      <c r="L53" s="248" t="str">
        <f>IFERROR(IF(D53="Y",K53/$K$57,0%),"0.0%")</f>
        <v>0.0%</v>
      </c>
      <c r="M53" s="139" t="s">
        <v>56</v>
      </c>
      <c r="N53" s="233"/>
    </row>
    <row r="54" spans="1:14" ht="47.25" customHeight="1" thickBot="1" x14ac:dyDescent="0.3">
      <c r="A54" s="1335"/>
      <c r="B54" s="270"/>
      <c r="C54" s="218" t="s">
        <v>55</v>
      </c>
      <c r="D54" s="239" t="s">
        <v>49</v>
      </c>
      <c r="E54" s="346"/>
      <c r="F54" s="296"/>
      <c r="G54" s="1269"/>
      <c r="H54" s="1270"/>
      <c r="I54" s="355" t="s">
        <v>475</v>
      </c>
      <c r="J54" s="269"/>
      <c r="K54" s="388">
        <f>IF(D54="Y",J54*E54,"")</f>
        <v>0</v>
      </c>
      <c r="L54" s="248" t="str">
        <f>IFERROR(IF(D54="Y",K54/$K$57,0%),"0.0%")</f>
        <v>0.0%</v>
      </c>
      <c r="M54" s="139" t="s">
        <v>56</v>
      </c>
      <c r="N54" s="233"/>
    </row>
    <row r="55" spans="1:14" ht="15.75" thickBot="1" x14ac:dyDescent="0.3">
      <c r="A55" s="293" t="s">
        <v>53</v>
      </c>
      <c r="B55" s="250" t="str">
        <f>A51</f>
        <v>Other Activity that may be applicable to this area</v>
      </c>
      <c r="C55" s="251"/>
      <c r="D55" s="252"/>
      <c r="E55" s="253"/>
      <c r="F55" s="252"/>
      <c r="G55" s="252"/>
      <c r="H55" s="252"/>
      <c r="I55" s="254"/>
      <c r="J55" s="255"/>
      <c r="K55" s="256">
        <f>SUM(K51:K54)</f>
        <v>0</v>
      </c>
      <c r="L55" s="252"/>
      <c r="M55" s="257"/>
      <c r="N55" s="233"/>
    </row>
    <row r="56" spans="1:14" x14ac:dyDescent="0.25">
      <c r="A56" s="260"/>
      <c r="B56" s="260"/>
      <c r="C56" s="261"/>
      <c r="D56" s="262"/>
      <c r="E56" s="263"/>
      <c r="F56" s="262"/>
      <c r="G56" s="262"/>
      <c r="H56" s="262"/>
      <c r="I56" s="264"/>
      <c r="J56" s="265"/>
      <c r="K56" s="266"/>
      <c r="L56" s="262"/>
      <c r="M56" s="261"/>
      <c r="N56" s="233"/>
    </row>
    <row r="57" spans="1:14" ht="21" x14ac:dyDescent="0.25">
      <c r="A57" s="260"/>
      <c r="B57" s="260"/>
      <c r="C57" s="261"/>
      <c r="D57" s="262"/>
      <c r="E57" s="263"/>
      <c r="F57" s="262"/>
      <c r="G57" s="262"/>
      <c r="H57" s="262"/>
      <c r="I57" s="233"/>
      <c r="J57" s="267" t="s">
        <v>592</v>
      </c>
      <c r="K57" s="268">
        <f>K55+K50+K38+K26+K23</f>
        <v>0</v>
      </c>
      <c r="L57" s="262"/>
      <c r="M57" s="261"/>
      <c r="N57" s="233"/>
    </row>
    <row r="58" spans="1:14" x14ac:dyDescent="0.25">
      <c r="A58" s="260"/>
      <c r="B58" s="260"/>
      <c r="C58" s="261"/>
      <c r="D58" s="262"/>
      <c r="E58" s="263"/>
      <c r="F58" s="262"/>
      <c r="G58" s="262"/>
      <c r="H58" s="262"/>
      <c r="I58" s="264"/>
      <c r="J58" s="265"/>
      <c r="K58" s="266"/>
      <c r="L58" s="262"/>
      <c r="M58" s="261"/>
      <c r="N58" s="233"/>
    </row>
    <row r="59" spans="1:14" x14ac:dyDescent="0.25">
      <c r="A59" s="260"/>
      <c r="B59" s="260"/>
      <c r="C59" s="261"/>
      <c r="D59" s="262"/>
      <c r="E59" s="263"/>
      <c r="F59" s="262"/>
      <c r="G59" s="262"/>
      <c r="H59" s="262"/>
      <c r="I59" s="264"/>
      <c r="J59" s="265"/>
      <c r="K59" s="266"/>
      <c r="L59" s="262"/>
      <c r="M59" s="261"/>
      <c r="N59" s="233"/>
    </row>
    <row r="60" spans="1:14" x14ac:dyDescent="0.25">
      <c r="A60" s="260"/>
      <c r="B60" s="260"/>
      <c r="C60" s="261"/>
      <c r="D60" s="262"/>
      <c r="E60" s="263"/>
      <c r="F60" s="262"/>
      <c r="G60" s="262"/>
      <c r="H60" s="262"/>
      <c r="I60" s="264"/>
      <c r="J60" s="265"/>
      <c r="K60" s="266"/>
      <c r="L60" s="262"/>
      <c r="M60" s="261"/>
      <c r="N60" s="233"/>
    </row>
    <row r="61" spans="1:14" x14ac:dyDescent="0.25">
      <c r="A61" s="260"/>
      <c r="B61" s="260"/>
      <c r="C61" s="261"/>
      <c r="D61" s="262"/>
      <c r="E61" s="263"/>
      <c r="F61" s="262"/>
      <c r="G61" s="262"/>
      <c r="H61" s="262"/>
      <c r="I61" s="264"/>
      <c r="J61" s="265"/>
      <c r="K61" s="266"/>
      <c r="L61" s="262"/>
      <c r="M61" s="261"/>
    </row>
    <row r="62" spans="1:14" x14ac:dyDescent="0.25">
      <c r="A62" s="3"/>
      <c r="B62" s="3"/>
      <c r="C62" s="30"/>
      <c r="D62" s="9"/>
      <c r="E62" s="31"/>
      <c r="F62" s="9"/>
      <c r="G62" s="9"/>
      <c r="H62" s="9"/>
      <c r="I62" s="32"/>
      <c r="J62" s="2"/>
      <c r="K62" s="77"/>
      <c r="L62" s="9"/>
      <c r="M62" s="30"/>
    </row>
    <row r="63" spans="1:14" x14ac:dyDescent="0.25">
      <c r="A63" s="3"/>
      <c r="B63" s="3"/>
      <c r="C63" s="30"/>
      <c r="D63" s="9"/>
      <c r="E63" s="31"/>
      <c r="F63" s="9"/>
      <c r="G63" s="9"/>
      <c r="H63" s="9"/>
      <c r="I63" s="32"/>
      <c r="J63" s="2"/>
      <c r="K63" s="77"/>
      <c r="L63" s="9"/>
      <c r="M63" s="30"/>
    </row>
    <row r="64" spans="1:14" x14ac:dyDescent="0.25">
      <c r="A64" s="3"/>
      <c r="B64" s="3"/>
      <c r="C64" s="30"/>
      <c r="D64" s="9"/>
      <c r="E64" s="31"/>
      <c r="F64" s="9"/>
      <c r="G64" s="9"/>
      <c r="H64" s="9"/>
      <c r="I64" s="32"/>
      <c r="J64" s="2"/>
      <c r="K64" s="77"/>
      <c r="L64" s="9"/>
      <c r="M64" s="30"/>
    </row>
    <row r="65" spans="1:13" x14ac:dyDescent="0.25">
      <c r="A65" s="3"/>
      <c r="B65" s="3"/>
      <c r="C65" s="30"/>
      <c r="D65" s="9"/>
      <c r="E65" s="31"/>
      <c r="F65" s="9"/>
      <c r="G65" s="9"/>
      <c r="H65" s="9"/>
      <c r="I65" s="32"/>
      <c r="J65" s="2"/>
      <c r="K65" s="77"/>
      <c r="L65" s="9"/>
      <c r="M65" s="30"/>
    </row>
    <row r="66" spans="1:13" x14ac:dyDescent="0.25">
      <c r="A66" s="3"/>
      <c r="B66" s="3"/>
      <c r="C66" s="30"/>
      <c r="D66" s="9"/>
      <c r="E66" s="31"/>
      <c r="F66" s="9"/>
      <c r="G66" s="9"/>
      <c r="H66" s="9"/>
      <c r="I66" s="32"/>
      <c r="J66" s="2"/>
      <c r="K66" s="77"/>
      <c r="L66" s="9"/>
      <c r="M66" s="30"/>
    </row>
    <row r="67" spans="1:13" x14ac:dyDescent="0.25">
      <c r="A67" s="3"/>
      <c r="B67" s="3"/>
      <c r="C67" s="30"/>
      <c r="D67" s="9"/>
      <c r="E67" s="31"/>
      <c r="F67" s="9"/>
      <c r="G67" s="9"/>
      <c r="H67" s="9"/>
      <c r="I67" s="32"/>
      <c r="J67" s="2"/>
      <c r="K67" s="77"/>
      <c r="L67" s="9"/>
      <c r="M67" s="30"/>
    </row>
    <row r="68" spans="1:13" x14ac:dyDescent="0.25">
      <c r="A68" s="3"/>
      <c r="B68" s="3"/>
      <c r="C68" s="30"/>
      <c r="D68" s="9"/>
      <c r="E68" s="31"/>
      <c r="F68" s="9"/>
      <c r="G68" s="9"/>
      <c r="H68" s="9"/>
      <c r="I68" s="32"/>
      <c r="J68" s="2"/>
      <c r="K68" s="77"/>
      <c r="L68" s="9"/>
      <c r="M68" s="30"/>
    </row>
    <row r="69" spans="1:13" x14ac:dyDescent="0.25">
      <c r="A69" s="3"/>
      <c r="B69" s="3"/>
      <c r="C69" s="30"/>
      <c r="D69" s="9"/>
      <c r="E69" s="9"/>
      <c r="F69" s="9"/>
      <c r="G69" s="9"/>
      <c r="H69" s="9"/>
      <c r="I69" s="32"/>
      <c r="J69" s="2"/>
      <c r="K69" s="77"/>
      <c r="L69" s="9"/>
      <c r="M69" s="30"/>
    </row>
    <row r="70" spans="1:13" x14ac:dyDescent="0.25">
      <c r="A70" s="3"/>
      <c r="B70" s="3"/>
      <c r="C70" s="30"/>
      <c r="D70" s="9"/>
      <c r="E70" s="9"/>
      <c r="F70" s="9"/>
      <c r="G70" s="9"/>
      <c r="H70" s="9"/>
      <c r="I70" s="32"/>
      <c r="J70" s="2"/>
      <c r="K70" s="77"/>
      <c r="L70" s="9"/>
      <c r="M70" s="30"/>
    </row>
    <row r="71" spans="1:13" x14ac:dyDescent="0.25">
      <c r="C71" s="30"/>
      <c r="D71" s="9"/>
      <c r="E71" s="9"/>
      <c r="F71" s="9"/>
      <c r="G71" s="9"/>
      <c r="H71" s="9"/>
      <c r="I71" s="32"/>
      <c r="J71" s="2"/>
      <c r="K71" s="9"/>
      <c r="L71" s="9"/>
      <c r="M71" s="30"/>
    </row>
    <row r="72" spans="1:13" x14ac:dyDescent="0.25">
      <c r="C72" s="30"/>
      <c r="D72" s="9"/>
      <c r="E72" s="9"/>
      <c r="F72" s="9"/>
      <c r="G72" s="9"/>
      <c r="H72" s="9"/>
      <c r="I72" s="32"/>
      <c r="J72" s="2"/>
      <c r="K72" s="9"/>
      <c r="L72" s="9"/>
      <c r="M72" s="30"/>
    </row>
    <row r="73" spans="1:13" x14ac:dyDescent="0.25">
      <c r="C73" s="30"/>
      <c r="D73" s="9"/>
      <c r="E73" s="9"/>
      <c r="F73" s="9"/>
      <c r="G73" s="9"/>
      <c r="H73" s="9"/>
      <c r="I73" s="9"/>
      <c r="J73" s="9"/>
      <c r="K73" s="9"/>
      <c r="L73" s="9"/>
      <c r="M73" s="30"/>
    </row>
    <row r="74" spans="1:13" x14ac:dyDescent="0.25">
      <c r="D74" s="9"/>
      <c r="E74" s="9"/>
      <c r="F74" s="9"/>
      <c r="G74" s="9"/>
      <c r="H74" s="9"/>
      <c r="I74" s="9"/>
      <c r="J74" s="9"/>
      <c r="K74" s="9"/>
      <c r="L74" s="9"/>
    </row>
    <row r="75" spans="1:13" x14ac:dyDescent="0.25">
      <c r="D75" s="9"/>
      <c r="E75" s="9"/>
      <c r="F75" s="9"/>
      <c r="G75" s="9"/>
      <c r="H75" s="9"/>
      <c r="I75" s="9"/>
      <c r="J75" s="9"/>
      <c r="K75" s="9"/>
      <c r="L75" s="9"/>
    </row>
    <row r="76" spans="1:13" x14ac:dyDescent="0.25">
      <c r="D76" s="9"/>
      <c r="E76" s="9"/>
      <c r="F76" s="9"/>
      <c r="G76" s="9"/>
      <c r="H76" s="9"/>
      <c r="I76" s="9"/>
      <c r="J76" s="9"/>
      <c r="K76" s="9"/>
      <c r="L76" s="9"/>
    </row>
    <row r="77" spans="1:13" x14ac:dyDescent="0.25">
      <c r="D77" s="9"/>
      <c r="E77" s="9"/>
      <c r="F77" s="9"/>
      <c r="G77" s="9"/>
      <c r="H77" s="9"/>
      <c r="I77" s="9"/>
      <c r="J77" s="9"/>
      <c r="K77" s="9"/>
      <c r="L77" s="9"/>
    </row>
    <row r="78" spans="1:13" x14ac:dyDescent="0.25">
      <c r="D78" s="9"/>
      <c r="E78" s="9"/>
      <c r="F78" s="9"/>
      <c r="G78" s="9"/>
      <c r="H78" s="9"/>
      <c r="I78" s="9"/>
      <c r="J78" s="9"/>
      <c r="K78" s="9"/>
      <c r="L78" s="9"/>
    </row>
    <row r="79" spans="1:13" x14ac:dyDescent="0.25">
      <c r="D79" s="9"/>
      <c r="E79" s="9"/>
      <c r="F79" s="9"/>
      <c r="G79" s="9"/>
      <c r="H79" s="9"/>
      <c r="I79" s="9"/>
      <c r="J79" s="9"/>
      <c r="K79" s="9"/>
      <c r="L79" s="9"/>
    </row>
    <row r="80" spans="1:13" x14ac:dyDescent="0.25">
      <c r="D80" s="9"/>
      <c r="E80" s="9"/>
      <c r="F80" s="9"/>
      <c r="G80" s="9"/>
      <c r="H80" s="9"/>
      <c r="I80" s="9"/>
      <c r="J80" s="9"/>
      <c r="K80" s="9"/>
      <c r="L80" s="9"/>
    </row>
    <row r="81" spans="4:12" x14ac:dyDescent="0.25">
      <c r="D81" s="9"/>
      <c r="E81" s="9"/>
      <c r="F81" s="9"/>
      <c r="G81" s="9"/>
      <c r="H81" s="9"/>
      <c r="I81" s="9"/>
      <c r="J81" s="9"/>
      <c r="K81" s="9"/>
      <c r="L81" s="9"/>
    </row>
    <row r="82" spans="4:12" x14ac:dyDescent="0.25">
      <c r="D82" s="9"/>
      <c r="E82" s="9"/>
      <c r="F82" s="9"/>
      <c r="G82" s="9"/>
      <c r="H82" s="9"/>
      <c r="I82" s="9"/>
      <c r="J82" s="9"/>
      <c r="K82" s="9"/>
      <c r="L82" s="9"/>
    </row>
    <row r="83" spans="4:12" x14ac:dyDescent="0.25">
      <c r="D83" s="9"/>
      <c r="E83" s="9"/>
      <c r="F83" s="9"/>
      <c r="G83" s="9"/>
      <c r="H83" s="9"/>
      <c r="I83" s="9"/>
      <c r="J83" s="9"/>
      <c r="K83" s="9"/>
      <c r="L83" s="9"/>
    </row>
    <row r="84" spans="4:12" x14ac:dyDescent="0.25">
      <c r="D84" s="9"/>
      <c r="E84" s="9"/>
      <c r="F84" s="9"/>
      <c r="G84" s="9"/>
      <c r="H84" s="9"/>
      <c r="I84" s="9"/>
      <c r="J84" s="9"/>
      <c r="K84" s="9"/>
      <c r="L84" s="9"/>
    </row>
    <row r="85" spans="4:12" x14ac:dyDescent="0.25">
      <c r="D85" s="9"/>
      <c r="E85" s="9"/>
      <c r="F85" s="9"/>
      <c r="G85" s="9"/>
      <c r="H85" s="9"/>
      <c r="I85" s="9"/>
      <c r="J85" s="9"/>
      <c r="K85" s="9"/>
      <c r="L85" s="9"/>
    </row>
  </sheetData>
  <sheetProtection algorithmName="SHA-512" hashValue="7kczBqam5Eg+2rIXaj2IG8zMDOBJSV4Qa3W24wCi/EbdI6bDpS8k8EIpsQGhnAlVni55jZs81evrqUICfjy6eg==" saltValue="ARHpd4cQBh9fgr1xmoptXg==" spinCount="100000" sheet="1" formatCells="0" formatRows="0" selectLockedCells="1"/>
  <mergeCells count="55">
    <mergeCell ref="R1:V1"/>
    <mergeCell ref="A27:A37"/>
    <mergeCell ref="G27:H27"/>
    <mergeCell ref="G28:H28"/>
    <mergeCell ref="G29:H29"/>
    <mergeCell ref="G32:H32"/>
    <mergeCell ref="G35:H35"/>
    <mergeCell ref="G33:H33"/>
    <mergeCell ref="G34:H34"/>
    <mergeCell ref="G36:H36"/>
    <mergeCell ref="G37:H37"/>
    <mergeCell ref="A14:B14"/>
    <mergeCell ref="C14:E14"/>
    <mergeCell ref="L20:M20"/>
    <mergeCell ref="G21:H21"/>
    <mergeCell ref="A24:A25"/>
    <mergeCell ref="A39:A49"/>
    <mergeCell ref="G40:H40"/>
    <mergeCell ref="G49:H49"/>
    <mergeCell ref="G46:H46"/>
    <mergeCell ref="G47:H47"/>
    <mergeCell ref="G48:H48"/>
    <mergeCell ref="G41:H41"/>
    <mergeCell ref="G42:H42"/>
    <mergeCell ref="G43:H43"/>
    <mergeCell ref="G44:H44"/>
    <mergeCell ref="G45:H45"/>
    <mergeCell ref="G51:H51"/>
    <mergeCell ref="A51:A54"/>
    <mergeCell ref="G52:H52"/>
    <mergeCell ref="G53:H53"/>
    <mergeCell ref="G54:H54"/>
    <mergeCell ref="A5:E6"/>
    <mergeCell ref="G5:J5"/>
    <mergeCell ref="G24:H24"/>
    <mergeCell ref="G25:H25"/>
    <mergeCell ref="G6:M7"/>
    <mergeCell ref="B10:E10"/>
    <mergeCell ref="B11:E11"/>
    <mergeCell ref="B12:E12"/>
    <mergeCell ref="B7:E7"/>
    <mergeCell ref="R8:V8"/>
    <mergeCell ref="B8:E8"/>
    <mergeCell ref="G8:M19"/>
    <mergeCell ref="B9:E9"/>
    <mergeCell ref="A15:B15"/>
    <mergeCell ref="C15:E15"/>
    <mergeCell ref="A16:E19"/>
    <mergeCell ref="R16:V16"/>
    <mergeCell ref="A1:B1"/>
    <mergeCell ref="C1:E1"/>
    <mergeCell ref="K1:L1"/>
    <mergeCell ref="C2:E2"/>
    <mergeCell ref="F1:J3"/>
    <mergeCell ref="C3:E3"/>
  </mergeCells>
  <dataValidations count="3">
    <dataValidation type="list" allowBlank="1" showInputMessage="1" showErrorMessage="1" sqref="H30:H31" xr:uid="{00000000-0002-0000-0900-000000000000}">
      <formula1>$U$10:$U$14</formula1>
    </dataValidation>
    <dataValidation type="list" allowBlank="1" showInputMessage="1" showErrorMessage="1" sqref="H39" xr:uid="{00000000-0002-0000-0900-000001000000}">
      <formula1>$U$18:$U$22</formula1>
    </dataValidation>
    <dataValidation type="list" allowBlank="1" showInputMessage="1" showErrorMessage="1" sqref="H22" xr:uid="{00000000-0002-0000-0900-000002000000}">
      <formula1>$X$2:$X$6</formula1>
    </dataValidation>
  </dataValidations>
  <pageMargins left="0.70866141732283472" right="0.70866141732283472" top="0.74803149606299213" bottom="0.74803149606299213" header="0.31496062992125984" footer="0.31496062992125984"/>
  <pageSetup paperSize="9" scale="53" fitToHeight="3" orientation="landscape" r:id="rId1"/>
  <headerFooter>
    <oddHeader>&amp;LDepartment for Energy and Mining&amp;C&amp;"Arial"&amp;12&amp;KA80000 OFFICIAL&amp;1#_x000D_</oddHeader>
    <oddFooter>&amp;L&amp;Z
&amp;F&amp;C&amp;P&amp;R&amp;D</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Y85"/>
  <sheetViews>
    <sheetView showGridLines="0" zoomScale="90" zoomScaleNormal="90" workbookViewId="0">
      <selection activeCell="G8" sqref="G8:M19"/>
    </sheetView>
  </sheetViews>
  <sheetFormatPr defaultRowHeight="15" x14ac:dyDescent="0.25"/>
  <cols>
    <col min="1" max="1" width="21.140625" customWidth="1"/>
    <col min="2" max="2" width="11.5703125" customWidth="1"/>
    <col min="3" max="3" width="37.7109375" customWidth="1"/>
    <col min="4" max="4" width="13.5703125" customWidth="1"/>
    <col min="5" max="5" width="11" customWidth="1"/>
    <col min="7" max="7" width="21.5703125" customWidth="1"/>
    <col min="8" max="8" width="15" customWidth="1"/>
    <col min="9" max="9" width="12.7109375" customWidth="1"/>
    <col min="10" max="10" width="12.140625" customWidth="1"/>
    <col min="11" max="11" width="14.42578125" customWidth="1"/>
    <col min="12" max="12" width="13.5703125" customWidth="1"/>
    <col min="13" max="13" width="50.42578125" customWidth="1"/>
    <col min="15" max="15" width="11.140625" customWidth="1"/>
    <col min="17" max="17" width="11.140625" bestFit="1" customWidth="1"/>
    <col min="18" max="22" width="12.42578125" customWidth="1"/>
    <col min="24" max="24" width="19" bestFit="1" customWidth="1"/>
    <col min="25" max="25" width="10.5703125" bestFit="1" customWidth="1"/>
  </cols>
  <sheetData>
    <row r="1" spans="1:25" ht="51" customHeight="1" x14ac:dyDescent="0.25">
      <c r="A1" s="1322" t="s">
        <v>485</v>
      </c>
      <c r="B1" s="1323"/>
      <c r="C1" s="1324" t="str">
        <f>'Summary Page'!E13</f>
        <v/>
      </c>
      <c r="D1" s="1325"/>
      <c r="E1" s="1326"/>
      <c r="F1" s="1360"/>
      <c r="G1" s="1285"/>
      <c r="H1" s="1285"/>
      <c r="I1" s="1285"/>
      <c r="J1" s="1286"/>
      <c r="K1" s="1295" t="s">
        <v>460</v>
      </c>
      <c r="L1" s="1295"/>
      <c r="M1" s="404" t="s">
        <v>546</v>
      </c>
      <c r="P1" s="525" t="str">
        <f>B30</f>
        <v>A1005</v>
      </c>
      <c r="Q1" s="526" t="s">
        <v>19</v>
      </c>
      <c r="R1" s="1273" t="str">
        <f>C30</f>
        <v>Load and haul of mined, processed, stockpiled materials or topsoil</v>
      </c>
      <c r="S1" s="1274"/>
      <c r="T1" s="1274"/>
      <c r="U1" s="1274"/>
      <c r="V1" s="1275"/>
      <c r="X1" s="516" t="s">
        <v>74</v>
      </c>
      <c r="Y1" s="516" t="str">
        <f>B22</f>
        <v>A1087</v>
      </c>
    </row>
    <row r="2" spans="1:25" ht="30" x14ac:dyDescent="0.35">
      <c r="A2" s="324" t="s">
        <v>461</v>
      </c>
      <c r="B2" s="325">
        <v>3</v>
      </c>
      <c r="C2" s="1296" t="str">
        <f>'Summary Page'!E19</f>
        <v/>
      </c>
      <c r="D2" s="1297"/>
      <c r="E2" s="1348"/>
      <c r="F2" s="1287"/>
      <c r="G2" s="1288"/>
      <c r="H2" s="1288"/>
      <c r="I2" s="1288"/>
      <c r="J2" s="1289"/>
      <c r="K2" s="326"/>
      <c r="L2" s="327" t="s">
        <v>152</v>
      </c>
      <c r="M2" s="328">
        <f>K57</f>
        <v>0</v>
      </c>
      <c r="P2" s="297" t="s">
        <v>61</v>
      </c>
      <c r="Q2" s="371" t="s">
        <v>58</v>
      </c>
      <c r="R2" s="371" t="s">
        <v>59</v>
      </c>
      <c r="S2" s="371" t="s">
        <v>60</v>
      </c>
      <c r="T2" s="371" t="s">
        <v>53</v>
      </c>
      <c r="U2" s="372" t="s">
        <v>61</v>
      </c>
      <c r="V2" s="373" t="s">
        <v>53</v>
      </c>
      <c r="X2" s="41" t="s">
        <v>833</v>
      </c>
      <c r="Y2" s="466">
        <f>VLOOKUP(Y1,Activities!A10:Q129,16,FALSE)</f>
        <v>27868.467286149284</v>
      </c>
    </row>
    <row r="3" spans="1:25" ht="21" x14ac:dyDescent="0.25">
      <c r="A3" s="329" t="s">
        <v>267</v>
      </c>
      <c r="B3" s="330">
        <f>'Version Control'!B50</f>
        <v>7</v>
      </c>
      <c r="C3" s="1356" t="s">
        <v>546</v>
      </c>
      <c r="D3" s="1357"/>
      <c r="E3" s="1358"/>
      <c r="F3" s="1290"/>
      <c r="G3" s="1291"/>
      <c r="H3" s="1291"/>
      <c r="I3" s="1291"/>
      <c r="J3" s="1292"/>
      <c r="K3" s="331"/>
      <c r="L3" s="332" t="s">
        <v>462</v>
      </c>
      <c r="M3" s="333">
        <f>'Summary Page'!J73</f>
        <v>0</v>
      </c>
      <c r="P3" s="374" t="s">
        <v>35</v>
      </c>
      <c r="Q3" s="357">
        <f>VLOOKUP(P1,Activities!$A$10:$Q$152,16,FALSE)</f>
        <v>1.1086505828514972</v>
      </c>
      <c r="R3" s="357">
        <f>VLOOKUP(Q1,Activities!$A$10:$Q$152,16,FALSE)</f>
        <v>1.1303836975020005</v>
      </c>
      <c r="S3" s="376">
        <v>1</v>
      </c>
      <c r="T3" s="375">
        <f>R3+Q3</f>
        <v>2.2390342803534979</v>
      </c>
      <c r="U3" s="235" t="s">
        <v>35</v>
      </c>
      <c r="V3" s="377">
        <f>T3</f>
        <v>2.2390342803534979</v>
      </c>
      <c r="X3" s="71" t="s">
        <v>836</v>
      </c>
      <c r="Y3" s="467">
        <f>Y2*2</f>
        <v>55736.934572298567</v>
      </c>
    </row>
    <row r="4" spans="1:25" ht="21" x14ac:dyDescent="0.25">
      <c r="A4" s="334" t="s">
        <v>463</v>
      </c>
      <c r="B4" s="335">
        <f>'Version Control'!A50</f>
        <v>45531</v>
      </c>
      <c r="C4" s="233"/>
      <c r="D4" s="233"/>
      <c r="E4" s="233"/>
      <c r="F4" s="233"/>
      <c r="G4" s="233"/>
      <c r="H4" s="233"/>
      <c r="I4" s="233"/>
      <c r="J4" s="233"/>
      <c r="K4" s="294"/>
      <c r="L4" s="336" t="s">
        <v>464</v>
      </c>
      <c r="M4" s="337" t="e">
        <f>M2/M3</f>
        <v>#DIV/0!</v>
      </c>
      <c r="P4" s="374" t="s">
        <v>36</v>
      </c>
      <c r="Q4" s="357">
        <f>Q3</f>
        <v>1.1086505828514972</v>
      </c>
      <c r="R4" s="375">
        <f>R3*2</f>
        <v>2.260767395004001</v>
      </c>
      <c r="S4" s="376">
        <v>0.8</v>
      </c>
      <c r="T4" s="375">
        <f>Q4+(R4*S4)</f>
        <v>2.9172644988546983</v>
      </c>
      <c r="U4" s="235" t="s">
        <v>36</v>
      </c>
      <c r="V4" s="377">
        <f>T4</f>
        <v>2.9172644988546983</v>
      </c>
      <c r="X4" s="71" t="s">
        <v>834</v>
      </c>
      <c r="Y4" s="467">
        <f>Y2*3-1</f>
        <v>83604.401858447847</v>
      </c>
    </row>
    <row r="5" spans="1:25" ht="23.25" x14ac:dyDescent="0.25">
      <c r="A5" s="1349" t="s">
        <v>465</v>
      </c>
      <c r="B5" s="1298"/>
      <c r="C5" s="1298"/>
      <c r="D5" s="1298"/>
      <c r="E5" s="1299"/>
      <c r="F5" s="233"/>
      <c r="G5" s="1302" t="s">
        <v>466</v>
      </c>
      <c r="H5" s="1303"/>
      <c r="I5" s="1303"/>
      <c r="J5" s="1304"/>
      <c r="K5" s="233"/>
      <c r="L5" s="233"/>
      <c r="M5" s="233"/>
      <c r="P5" s="374" t="s">
        <v>37</v>
      </c>
      <c r="Q5" s="357">
        <f t="shared" ref="Q5:Q6" si="0">Q4</f>
        <v>1.1086505828514972</v>
      </c>
      <c r="R5" s="375">
        <f>R3*4</f>
        <v>4.5215347900080021</v>
      </c>
      <c r="S5" s="376">
        <v>0.7</v>
      </c>
      <c r="T5" s="375">
        <f>Q5+(R5*S5)</f>
        <v>4.2737249358570981</v>
      </c>
      <c r="U5" s="235" t="s">
        <v>37</v>
      </c>
      <c r="V5" s="377">
        <f>T5</f>
        <v>4.2737249358570981</v>
      </c>
      <c r="X5" s="71" t="s">
        <v>835</v>
      </c>
      <c r="Y5" s="467">
        <f>Y2*5-1</f>
        <v>139341.33643074642</v>
      </c>
    </row>
    <row r="6" spans="1:25" ht="15" customHeight="1" x14ac:dyDescent="0.25">
      <c r="A6" s="1350"/>
      <c r="B6" s="1351"/>
      <c r="C6" s="1351"/>
      <c r="D6" s="1351"/>
      <c r="E6" s="1352"/>
      <c r="F6" s="299"/>
      <c r="G6" s="1305" t="s">
        <v>484</v>
      </c>
      <c r="H6" s="1306"/>
      <c r="I6" s="1306"/>
      <c r="J6" s="1306"/>
      <c r="K6" s="1306"/>
      <c r="L6" s="1306"/>
      <c r="M6" s="1307"/>
      <c r="P6" s="374" t="s">
        <v>38</v>
      </c>
      <c r="Q6" s="357">
        <f t="shared" si="0"/>
        <v>1.1086505828514972</v>
      </c>
      <c r="R6" s="375">
        <f>R3*8</f>
        <v>9.0430695800160041</v>
      </c>
      <c r="S6" s="376">
        <v>0.6</v>
      </c>
      <c r="T6" s="375">
        <f>Q6+(R6*S6)</f>
        <v>6.5344923308610987</v>
      </c>
      <c r="U6" s="235" t="s">
        <v>244</v>
      </c>
      <c r="V6" s="377">
        <f>T6</f>
        <v>6.5344923308610987</v>
      </c>
      <c r="X6" s="52" t="s">
        <v>613</v>
      </c>
      <c r="Y6" s="124"/>
    </row>
    <row r="7" spans="1:25" ht="15" customHeight="1" x14ac:dyDescent="0.25">
      <c r="A7" s="348">
        <v>1</v>
      </c>
      <c r="B7" s="1353" t="s">
        <v>85</v>
      </c>
      <c r="C7" s="1354"/>
      <c r="D7" s="1354"/>
      <c r="E7" s="1355"/>
      <c r="F7" s="339"/>
      <c r="G7" s="1308"/>
      <c r="H7" s="1309"/>
      <c r="I7" s="1309"/>
      <c r="J7" s="1309"/>
      <c r="K7" s="1309"/>
      <c r="L7" s="1309"/>
      <c r="M7" s="1310"/>
      <c r="P7" s="238"/>
      <c r="Q7" s="236"/>
      <c r="R7" s="236"/>
      <c r="S7" s="236"/>
      <c r="T7" s="236"/>
      <c r="U7" s="236" t="s">
        <v>264</v>
      </c>
      <c r="V7" s="237"/>
    </row>
    <row r="8" spans="1:25" ht="18.75" x14ac:dyDescent="0.25">
      <c r="A8" s="297">
        <v>2</v>
      </c>
      <c r="B8" s="1340" t="s">
        <v>86</v>
      </c>
      <c r="C8" s="1341"/>
      <c r="D8" s="1341"/>
      <c r="E8" s="1342"/>
      <c r="F8" s="339"/>
      <c r="G8" s="1137"/>
      <c r="H8" s="1138"/>
      <c r="I8" s="1138"/>
      <c r="J8" s="1138"/>
      <c r="K8" s="1138"/>
      <c r="L8" s="1138"/>
      <c r="M8" s="1139"/>
      <c r="P8" s="525" t="str">
        <f>B31</f>
        <v>A1006</v>
      </c>
      <c r="Q8" s="526" t="s">
        <v>19</v>
      </c>
      <c r="R8" s="1273" t="s">
        <v>893</v>
      </c>
      <c r="S8" s="1274"/>
      <c r="T8" s="1274"/>
      <c r="U8" s="1274"/>
      <c r="V8" s="1275"/>
      <c r="X8" s="127"/>
      <c r="Y8" s="135"/>
    </row>
    <row r="9" spans="1:25" ht="30.75" customHeight="1" x14ac:dyDescent="0.25">
      <c r="A9" s="297">
        <v>3</v>
      </c>
      <c r="B9" s="1343" t="s">
        <v>348</v>
      </c>
      <c r="C9" s="1344"/>
      <c r="D9" s="1344"/>
      <c r="E9" s="1345"/>
      <c r="F9" s="339"/>
      <c r="G9" s="1140"/>
      <c r="H9" s="1329"/>
      <c r="I9" s="1329"/>
      <c r="J9" s="1329"/>
      <c r="K9" s="1329"/>
      <c r="L9" s="1329"/>
      <c r="M9" s="1142"/>
      <c r="P9" s="297" t="s">
        <v>61</v>
      </c>
      <c r="Q9" s="371" t="s">
        <v>58</v>
      </c>
      <c r="R9" s="371" t="s">
        <v>59</v>
      </c>
      <c r="S9" s="371" t="s">
        <v>60</v>
      </c>
      <c r="T9" s="371" t="s">
        <v>53</v>
      </c>
      <c r="U9" s="372" t="s">
        <v>61</v>
      </c>
      <c r="V9" s="373" t="s">
        <v>53</v>
      </c>
      <c r="X9" s="116"/>
      <c r="Y9" s="125"/>
    </row>
    <row r="10" spans="1:25" x14ac:dyDescent="0.25">
      <c r="A10" s="297">
        <v>4</v>
      </c>
      <c r="B10" s="1327" t="s">
        <v>73</v>
      </c>
      <c r="C10" s="1327"/>
      <c r="D10" s="1327"/>
      <c r="E10" s="1328"/>
      <c r="F10" s="339"/>
      <c r="G10" s="1140"/>
      <c r="H10" s="1329"/>
      <c r="I10" s="1329"/>
      <c r="J10" s="1329"/>
      <c r="K10" s="1329"/>
      <c r="L10" s="1329"/>
      <c r="M10" s="1142"/>
      <c r="P10" s="374" t="s">
        <v>35</v>
      </c>
      <c r="Q10" s="357">
        <f>VLOOKUP(P8,Activities!$A$10:$Q$152,16,FALSE)</f>
        <v>1.1086505828514972</v>
      </c>
      <c r="R10" s="357">
        <f>VLOOKUP(Q8,Activities!$A$10:$Q$152,16,FALSE)</f>
        <v>1.1303836975020005</v>
      </c>
      <c r="S10" s="376">
        <v>1</v>
      </c>
      <c r="T10" s="375">
        <f>R10+Q10</f>
        <v>2.2390342803534979</v>
      </c>
      <c r="U10" s="235" t="s">
        <v>35</v>
      </c>
      <c r="V10" s="377">
        <f>T10</f>
        <v>2.2390342803534979</v>
      </c>
    </row>
    <row r="11" spans="1:25" x14ac:dyDescent="0.25">
      <c r="A11" s="297">
        <v>5</v>
      </c>
      <c r="B11" s="1330" t="s">
        <v>486</v>
      </c>
      <c r="C11" s="1331"/>
      <c r="D11" s="1331"/>
      <c r="E11" s="1332"/>
      <c r="F11" s="339"/>
      <c r="G11" s="1140"/>
      <c r="H11" s="1329"/>
      <c r="I11" s="1329"/>
      <c r="J11" s="1329"/>
      <c r="K11" s="1329"/>
      <c r="L11" s="1329"/>
      <c r="M11" s="1142"/>
      <c r="P11" s="374" t="s">
        <v>36</v>
      </c>
      <c r="Q11" s="375">
        <f>Q10</f>
        <v>1.1086505828514972</v>
      </c>
      <c r="R11" s="375">
        <f>R10*2</f>
        <v>2.260767395004001</v>
      </c>
      <c r="S11" s="376">
        <v>0.8</v>
      </c>
      <c r="T11" s="375">
        <f>Q11+(R11*S11)</f>
        <v>2.9172644988546983</v>
      </c>
      <c r="U11" s="235" t="s">
        <v>36</v>
      </c>
      <c r="V11" s="377">
        <f>T11</f>
        <v>2.9172644988546983</v>
      </c>
    </row>
    <row r="12" spans="1:25" x14ac:dyDescent="0.25">
      <c r="A12" s="305">
        <v>6</v>
      </c>
      <c r="B12" s="1346" t="s">
        <v>487</v>
      </c>
      <c r="C12" s="1346"/>
      <c r="D12" s="1346"/>
      <c r="E12" s="1347"/>
      <c r="F12" s="233"/>
      <c r="G12" s="1140"/>
      <c r="H12" s="1329"/>
      <c r="I12" s="1329"/>
      <c r="J12" s="1329"/>
      <c r="K12" s="1329"/>
      <c r="L12" s="1329"/>
      <c r="M12" s="1142"/>
      <c r="P12" s="374" t="s">
        <v>37</v>
      </c>
      <c r="Q12" s="375">
        <f t="shared" ref="Q12:Q13" si="1">Q11</f>
        <v>1.1086505828514972</v>
      </c>
      <c r="R12" s="375">
        <f>R10*4</f>
        <v>4.5215347900080021</v>
      </c>
      <c r="S12" s="376">
        <v>0.7</v>
      </c>
      <c r="T12" s="375">
        <f>Q12+(R12*S12)</f>
        <v>4.2737249358570981</v>
      </c>
      <c r="U12" s="235" t="s">
        <v>37</v>
      </c>
      <c r="V12" s="377">
        <f>T12</f>
        <v>4.2737249358570981</v>
      </c>
    </row>
    <row r="13" spans="1:25" x14ac:dyDescent="0.25">
      <c r="A13" s="340" t="s">
        <v>34</v>
      </c>
      <c r="B13" s="233"/>
      <c r="C13" s="233"/>
      <c r="D13" s="233"/>
      <c r="E13" s="233"/>
      <c r="F13" s="233"/>
      <c r="G13" s="1140"/>
      <c r="H13" s="1329"/>
      <c r="I13" s="1329"/>
      <c r="J13" s="1329"/>
      <c r="K13" s="1329"/>
      <c r="L13" s="1329"/>
      <c r="M13" s="1142"/>
      <c r="P13" s="374" t="s">
        <v>38</v>
      </c>
      <c r="Q13" s="375">
        <f t="shared" si="1"/>
        <v>1.1086505828514972</v>
      </c>
      <c r="R13" s="375">
        <f>R10*8</f>
        <v>9.0430695800160041</v>
      </c>
      <c r="S13" s="376">
        <v>0.6</v>
      </c>
      <c r="T13" s="375">
        <f>Q13+(R13*S13)</f>
        <v>6.5344923308610987</v>
      </c>
      <c r="U13" s="235" t="s">
        <v>244</v>
      </c>
      <c r="V13" s="377">
        <f>T13</f>
        <v>6.5344923308610987</v>
      </c>
    </row>
    <row r="14" spans="1:25" x14ac:dyDescent="0.25">
      <c r="A14" s="1276"/>
      <c r="B14" s="1277"/>
      <c r="C14" s="1278" t="s">
        <v>352</v>
      </c>
      <c r="D14" s="1278"/>
      <c r="E14" s="1279"/>
      <c r="F14" s="233"/>
      <c r="G14" s="1140"/>
      <c r="H14" s="1329"/>
      <c r="I14" s="1329"/>
      <c r="J14" s="1329"/>
      <c r="K14" s="1329"/>
      <c r="L14" s="1329"/>
      <c r="M14" s="1142"/>
      <c r="P14" s="238"/>
      <c r="Q14" s="236"/>
      <c r="R14" s="236"/>
      <c r="S14" s="236"/>
      <c r="T14" s="236"/>
      <c r="U14" s="236" t="s">
        <v>264</v>
      </c>
      <c r="V14" s="237"/>
    </row>
    <row r="15" spans="1:25" x14ac:dyDescent="0.25">
      <c r="A15" s="1201"/>
      <c r="B15" s="1202"/>
      <c r="C15" s="1280" t="s">
        <v>467</v>
      </c>
      <c r="D15" s="1280"/>
      <c r="E15" s="1281"/>
      <c r="F15" s="233"/>
      <c r="G15" s="1140"/>
      <c r="H15" s="1329"/>
      <c r="I15" s="1329"/>
      <c r="J15" s="1329"/>
      <c r="K15" s="1329"/>
      <c r="L15" s="1329"/>
      <c r="M15" s="1142"/>
      <c r="P15" s="233"/>
      <c r="Q15" s="233"/>
      <c r="R15" s="233"/>
      <c r="S15" s="233"/>
      <c r="T15" s="233"/>
      <c r="U15" s="233"/>
      <c r="V15" s="233"/>
    </row>
    <row r="16" spans="1:25" ht="18.75" x14ac:dyDescent="0.25">
      <c r="A16" s="1284" t="s">
        <v>825</v>
      </c>
      <c r="B16" s="1285"/>
      <c r="C16" s="1285"/>
      <c r="D16" s="1285"/>
      <c r="E16" s="1286"/>
      <c r="F16" s="233"/>
      <c r="G16" s="1140"/>
      <c r="H16" s="1329"/>
      <c r="I16" s="1329"/>
      <c r="J16" s="1329"/>
      <c r="K16" s="1329"/>
      <c r="L16" s="1329"/>
      <c r="M16" s="1142"/>
      <c r="P16" s="525" t="str">
        <f>B39</f>
        <v>A1013</v>
      </c>
      <c r="Q16" s="526" t="s">
        <v>19</v>
      </c>
      <c r="R16" s="1273" t="s">
        <v>72</v>
      </c>
      <c r="S16" s="1274"/>
      <c r="T16" s="1274"/>
      <c r="U16" s="1274"/>
      <c r="V16" s="1275"/>
    </row>
    <row r="17" spans="1:24" ht="34.5" customHeight="1" x14ac:dyDescent="0.25">
      <c r="A17" s="1287"/>
      <c r="B17" s="1288"/>
      <c r="C17" s="1288"/>
      <c r="D17" s="1288"/>
      <c r="E17" s="1289"/>
      <c r="F17" s="233"/>
      <c r="G17" s="1140"/>
      <c r="H17" s="1329"/>
      <c r="I17" s="1329"/>
      <c r="J17" s="1329"/>
      <c r="K17" s="1329"/>
      <c r="L17" s="1329"/>
      <c r="M17" s="1142"/>
      <c r="P17" s="297" t="s">
        <v>61</v>
      </c>
      <c r="Q17" s="371" t="s">
        <v>58</v>
      </c>
      <c r="R17" s="371" t="s">
        <v>59</v>
      </c>
      <c r="S17" s="371" t="s">
        <v>60</v>
      </c>
      <c r="T17" s="371" t="s">
        <v>53</v>
      </c>
      <c r="U17" s="372" t="s">
        <v>61</v>
      </c>
      <c r="V17" s="373" t="s">
        <v>53</v>
      </c>
    </row>
    <row r="18" spans="1:24" x14ac:dyDescent="0.25">
      <c r="A18" s="1287"/>
      <c r="B18" s="1288"/>
      <c r="C18" s="1288"/>
      <c r="D18" s="1288"/>
      <c r="E18" s="1289"/>
      <c r="F18" s="233"/>
      <c r="G18" s="1140"/>
      <c r="H18" s="1329"/>
      <c r="I18" s="1329"/>
      <c r="J18" s="1329"/>
      <c r="K18" s="1329"/>
      <c r="L18" s="1329"/>
      <c r="M18" s="1142"/>
      <c r="P18" s="374" t="s">
        <v>35</v>
      </c>
      <c r="Q18" s="357">
        <f>VLOOKUP(P16,Activities!$A$10:$Q$152,16,FALSE)</f>
        <v>1.4289323610931841</v>
      </c>
      <c r="R18" s="357">
        <f>VLOOKUP(Q16,Activities!$A$10:$Q$152,16,FALSE)</f>
        <v>1.1303836975020005</v>
      </c>
      <c r="S18" s="376">
        <v>1</v>
      </c>
      <c r="T18" s="375">
        <f>R18+Q18</f>
        <v>2.5593160585951846</v>
      </c>
      <c r="U18" s="235" t="s">
        <v>35</v>
      </c>
      <c r="V18" s="377">
        <f>T18</f>
        <v>2.5593160585951846</v>
      </c>
    </row>
    <row r="19" spans="1:24" x14ac:dyDescent="0.25">
      <c r="A19" s="1290"/>
      <c r="B19" s="1291"/>
      <c r="C19" s="1291"/>
      <c r="D19" s="1291"/>
      <c r="E19" s="1292"/>
      <c r="F19" s="233"/>
      <c r="G19" s="1143"/>
      <c r="H19" s="1144"/>
      <c r="I19" s="1144"/>
      <c r="J19" s="1144"/>
      <c r="K19" s="1144"/>
      <c r="L19" s="1144"/>
      <c r="M19" s="1145"/>
      <c r="P19" s="374" t="s">
        <v>36</v>
      </c>
      <c r="Q19" s="375">
        <f>Q18</f>
        <v>1.4289323610931841</v>
      </c>
      <c r="R19" s="375">
        <f>R18*2</f>
        <v>2.260767395004001</v>
      </c>
      <c r="S19" s="376">
        <v>0.8</v>
      </c>
      <c r="T19" s="375">
        <f>Q19+(R19*S19)</f>
        <v>3.237546277096385</v>
      </c>
      <c r="U19" s="235" t="s">
        <v>36</v>
      </c>
      <c r="V19" s="377">
        <f>T19</f>
        <v>3.237546277096385</v>
      </c>
    </row>
    <row r="20" spans="1:24" ht="15" customHeight="1" x14ac:dyDescent="0.25">
      <c r="A20" s="233"/>
      <c r="B20" s="233"/>
      <c r="C20" s="233"/>
      <c r="D20" s="366"/>
      <c r="E20" s="233"/>
      <c r="F20" s="233"/>
      <c r="G20" s="233"/>
      <c r="H20" s="233"/>
      <c r="I20" s="233"/>
      <c r="J20" s="219"/>
      <c r="K20" s="367"/>
      <c r="L20" s="1291"/>
      <c r="M20" s="1292"/>
      <c r="N20" s="136"/>
      <c r="O20" s="136"/>
      <c r="P20" s="374" t="s">
        <v>37</v>
      </c>
      <c r="Q20" s="375">
        <f t="shared" ref="Q20:Q21" si="2">Q19</f>
        <v>1.4289323610931841</v>
      </c>
      <c r="R20" s="375">
        <f>R18*4</f>
        <v>4.5215347900080021</v>
      </c>
      <c r="S20" s="376">
        <v>0.7</v>
      </c>
      <c r="T20" s="375">
        <f>Q20+(R20*S20)</f>
        <v>4.5940067140987857</v>
      </c>
      <c r="U20" s="235" t="s">
        <v>37</v>
      </c>
      <c r="V20" s="377">
        <f>T20</f>
        <v>4.5940067140987857</v>
      </c>
      <c r="W20" s="136"/>
      <c r="X20" s="136"/>
    </row>
    <row r="21" spans="1:24" s="1" customFormat="1" ht="60.75" customHeight="1" thickBot="1" x14ac:dyDescent="0.3">
      <c r="A21" s="119" t="s">
        <v>39</v>
      </c>
      <c r="B21" s="120" t="s">
        <v>40</v>
      </c>
      <c r="C21" s="120" t="s">
        <v>479</v>
      </c>
      <c r="D21" s="311" t="s">
        <v>272</v>
      </c>
      <c r="E21" s="311" t="s">
        <v>43</v>
      </c>
      <c r="F21" s="120" t="s">
        <v>273</v>
      </c>
      <c r="G21" s="1212" t="s">
        <v>416</v>
      </c>
      <c r="H21" s="1212"/>
      <c r="I21" s="120" t="s">
        <v>45</v>
      </c>
      <c r="J21" s="312" t="s">
        <v>271</v>
      </c>
      <c r="K21" s="120" t="s">
        <v>47</v>
      </c>
      <c r="L21" s="120" t="s">
        <v>270</v>
      </c>
      <c r="M21" s="317" t="s">
        <v>415</v>
      </c>
      <c r="N21" s="243"/>
      <c r="O21" s="138"/>
      <c r="P21" s="374" t="s">
        <v>38</v>
      </c>
      <c r="Q21" s="375">
        <f t="shared" si="2"/>
        <v>1.4289323610931841</v>
      </c>
      <c r="R21" s="375">
        <f>R18*8</f>
        <v>9.0430695800160041</v>
      </c>
      <c r="S21" s="376">
        <v>0.6</v>
      </c>
      <c r="T21" s="375">
        <f>Q21+(R21*S21)</f>
        <v>6.8547741091027863</v>
      </c>
      <c r="U21" s="235" t="s">
        <v>244</v>
      </c>
      <c r="V21" s="377">
        <f>T21</f>
        <v>6.8547741091027863</v>
      </c>
      <c r="W21" s="138"/>
      <c r="X21" s="138"/>
    </row>
    <row r="22" spans="1:24" ht="60.75" customHeight="1" thickBot="1" x14ac:dyDescent="0.3">
      <c r="A22" s="244" t="s">
        <v>76</v>
      </c>
      <c r="B22" s="245" t="s">
        <v>608</v>
      </c>
      <c r="C22" s="259" t="str">
        <f>VLOOKUP($B22,Activities!$A$10:$P$152,3,FALSE)</f>
        <v>Design/Quantify/Survey Rehabilitation Structures to Specification Standard</v>
      </c>
      <c r="D22" s="239" t="s">
        <v>49</v>
      </c>
      <c r="E22" s="240"/>
      <c r="F22" s="246" t="s">
        <v>50</v>
      </c>
      <c r="G22" s="313" t="s">
        <v>615</v>
      </c>
      <c r="H22" s="140" t="s">
        <v>613</v>
      </c>
      <c r="I22" s="273">
        <f>VLOOKUP(H22,X2:Y6,2,FALSE)</f>
        <v>0</v>
      </c>
      <c r="J22" s="269"/>
      <c r="K22" s="390">
        <f t="shared" ref="K22" si="3">IF(D22="Y",IF(J22="",I22*E22,J22*E22),"")</f>
        <v>0</v>
      </c>
      <c r="L22" s="248" t="str">
        <f>IFERROR(IF(D22="Y",K22/$K$57,0%),"0.0%")</f>
        <v>0.0%</v>
      </c>
      <c r="M22" s="290" t="str">
        <f>VLOOKUP($B22,Activities!$A$10:$S$152,19,FALSE)</f>
        <v>This item covers the cost of a third party called in to determine the extent of work required and to assess the methodology to complete the work and any other design or planning activities required.</v>
      </c>
      <c r="N22" s="233"/>
      <c r="O22" s="136"/>
      <c r="P22" s="378"/>
      <c r="Q22" s="379"/>
      <c r="R22" s="379"/>
      <c r="S22" s="379"/>
      <c r="T22" s="379"/>
      <c r="U22" s="236" t="s">
        <v>264</v>
      </c>
      <c r="V22" s="380"/>
      <c r="W22" s="136"/>
      <c r="X22" s="136"/>
    </row>
    <row r="23" spans="1:24" ht="15.75" customHeight="1" thickBot="1" x14ac:dyDescent="0.3">
      <c r="A23" s="293" t="s">
        <v>53</v>
      </c>
      <c r="B23" s="250" t="str">
        <f>A22</f>
        <v>Preliminaries</v>
      </c>
      <c r="C23" s="251"/>
      <c r="D23" s="252"/>
      <c r="E23" s="253"/>
      <c r="F23" s="252"/>
      <c r="G23" s="252"/>
      <c r="H23" s="252"/>
      <c r="I23" s="353"/>
      <c r="J23" s="354"/>
      <c r="K23" s="256">
        <f>SUM(K22:K22)</f>
        <v>0</v>
      </c>
      <c r="L23" s="252"/>
      <c r="M23" s="257"/>
      <c r="N23" s="233"/>
      <c r="O23" s="136"/>
      <c r="Q23" s="4"/>
      <c r="R23" s="4"/>
      <c r="S23" s="532"/>
      <c r="T23" s="4"/>
      <c r="V23" s="4"/>
      <c r="W23" s="136"/>
      <c r="X23" s="136"/>
    </row>
    <row r="24" spans="1:24" ht="55.5" customHeight="1" thickBot="1" x14ac:dyDescent="0.3">
      <c r="A24" s="1337" t="s">
        <v>262</v>
      </c>
      <c r="B24" s="270"/>
      <c r="C24" s="295" t="s">
        <v>300</v>
      </c>
      <c r="D24" s="239" t="s">
        <v>49</v>
      </c>
      <c r="E24" s="607"/>
      <c r="F24" s="296"/>
      <c r="G24" s="1269"/>
      <c r="H24" s="1270"/>
      <c r="I24" s="355" t="s">
        <v>475</v>
      </c>
      <c r="J24" s="352"/>
      <c r="K24" s="388">
        <f>IF(D24="Y",J24*E24,"")</f>
        <v>0</v>
      </c>
      <c r="L24" s="248" t="str">
        <f>IFERROR(IF(D24="Y",K24/$K$57,0%),"0.0%")</f>
        <v>0.0%</v>
      </c>
      <c r="M24" s="139" t="s">
        <v>56</v>
      </c>
      <c r="N24" s="233"/>
      <c r="O24" s="136"/>
      <c r="W24" s="136"/>
      <c r="X24" s="136"/>
    </row>
    <row r="25" spans="1:24" ht="55.5" customHeight="1" thickBot="1" x14ac:dyDescent="0.3">
      <c r="A25" s="1359"/>
      <c r="B25" s="270"/>
      <c r="C25" s="295" t="s">
        <v>300</v>
      </c>
      <c r="D25" s="239" t="s">
        <v>49</v>
      </c>
      <c r="E25" s="607"/>
      <c r="F25" s="296"/>
      <c r="G25" s="1269"/>
      <c r="H25" s="1270"/>
      <c r="I25" s="355" t="s">
        <v>475</v>
      </c>
      <c r="J25" s="269"/>
      <c r="K25" s="388">
        <f>IF(D25="Y",J25*E25,"")</f>
        <v>0</v>
      </c>
      <c r="L25" s="248" t="str">
        <f>IFERROR(IF(D25="Y",K25/$K$57,0%),"0.0%")</f>
        <v>0.0%</v>
      </c>
      <c r="M25" s="139" t="s">
        <v>56</v>
      </c>
      <c r="N25" s="233"/>
      <c r="O25" s="136"/>
      <c r="W25" s="136"/>
      <c r="X25" s="136"/>
    </row>
    <row r="26" spans="1:24" ht="15.75" customHeight="1" thickBot="1" x14ac:dyDescent="0.3">
      <c r="A26" s="293" t="s">
        <v>53</v>
      </c>
      <c r="B26" s="250" t="str">
        <f>A24</f>
        <v>Define Any Special Treatments for the Pit</v>
      </c>
      <c r="C26" s="251"/>
      <c r="D26" s="252"/>
      <c r="E26" s="253"/>
      <c r="F26" s="252"/>
      <c r="G26" s="252"/>
      <c r="H26" s="252"/>
      <c r="I26" s="353"/>
      <c r="J26" s="354"/>
      <c r="K26" s="256">
        <f>SUM(K24:K25)</f>
        <v>0</v>
      </c>
      <c r="L26" s="252"/>
      <c r="M26" s="257"/>
      <c r="N26" s="233"/>
    </row>
    <row r="27" spans="1:24" ht="61.5" customHeight="1" thickBot="1" x14ac:dyDescent="0.3">
      <c r="A27" s="1333" t="s">
        <v>263</v>
      </c>
      <c r="B27" s="258" t="s">
        <v>87</v>
      </c>
      <c r="C27" s="259" t="str">
        <f>VLOOKUP($B27,Activities!$A$10:$P$152,3,FALSE)</f>
        <v xml:space="preserve">Drill and Blast the top bench to half height </v>
      </c>
      <c r="D27" s="239" t="s">
        <v>49</v>
      </c>
      <c r="E27" s="240"/>
      <c r="F27" s="246" t="str">
        <f>VLOOKUP($B27,Activities!$A$10:$P$152,4,FALSE)</f>
        <v>m3</v>
      </c>
      <c r="G27" s="1269"/>
      <c r="H27" s="1270"/>
      <c r="I27" s="272">
        <f>VLOOKUP($B27,Activities!$A$10:$S$152,16,FALSE)</f>
        <v>3.3924281586577618</v>
      </c>
      <c r="J27" s="269"/>
      <c r="K27" s="388">
        <f t="shared" ref="K27:K29" si="4">IF(D27="Y",IF(J27="",I27*E27,J27*E27),0)</f>
        <v>0</v>
      </c>
      <c r="L27" s="248" t="str">
        <f>IFERROR(IF(D27="Y",K27/$K$58,0%),"0.0%")</f>
        <v>0.0%</v>
      </c>
      <c r="M27" s="290" t="str">
        <f>VLOOKUP($B27,Activities!$A$10:$S$152,19,FALSE)</f>
        <v>This activity provides a greater degree of stability by 'rolling over' the top face.  It also provides a better visual impact and it is possible to spread soil or overburden material to assist in vegetation growth.  For remote sites it may not necessarily add significant value and should be assessed in regards to pit stability and visual impacts.  Alternatively it may be possible to excavate this material rather than blast.</v>
      </c>
      <c r="N27" s="233"/>
    </row>
    <row r="28" spans="1:24" ht="43.5" customHeight="1" thickBot="1" x14ac:dyDescent="0.3">
      <c r="A28" s="1334"/>
      <c r="B28" s="258" t="s">
        <v>78</v>
      </c>
      <c r="C28" s="259" t="str">
        <f>VLOOKUP($B28,Activities!$A$10:$P$152,3,FALSE)</f>
        <v xml:space="preserve">Consolidation of loose Stockpiles of Waste and/or Ore </v>
      </c>
      <c r="D28" s="239" t="s">
        <v>49</v>
      </c>
      <c r="E28" s="240"/>
      <c r="F28" s="246" t="str">
        <f>VLOOKUP($B28,Activities!$A$10:$P$152,4,FALSE)</f>
        <v>m3</v>
      </c>
      <c r="G28" s="1269"/>
      <c r="H28" s="1270"/>
      <c r="I28" s="272">
        <f>VLOOKUP($B28,Activities!$A$10:$S$152,16,FALSE)</f>
        <v>3.7418180963331782</v>
      </c>
      <c r="J28" s="269"/>
      <c r="K28" s="388">
        <f t="shared" si="4"/>
        <v>0</v>
      </c>
      <c r="L28" s="248" t="str">
        <f>IFERROR(IF(D28="Y",K28/$K$58,0%),"0.0%")</f>
        <v>0.0%</v>
      </c>
      <c r="M28" s="290" t="str">
        <f>VLOOKUP($B28,Activities!$A$10:$S$152,19,FALSE)</f>
        <v>This activity covers the removal of small stockpiles of waste rock, ROM ore and other stockpiles.  These are consolidated into one waste dump for rehabilitation.</v>
      </c>
      <c r="N28" s="233"/>
      <c r="P28" s="1"/>
      <c r="Q28" s="1"/>
      <c r="R28" s="1"/>
      <c r="S28" s="1"/>
      <c r="T28" s="1"/>
      <c r="U28" s="1"/>
      <c r="V28" s="1"/>
    </row>
    <row r="29" spans="1:24" ht="43.5" customHeight="1" thickBot="1" x14ac:dyDescent="0.3">
      <c r="A29" s="1334"/>
      <c r="B29" s="245" t="s">
        <v>81</v>
      </c>
      <c r="C29" s="259" t="str">
        <f>VLOOKUP($B29,Activities!$A$10:$P$152,3,FALSE)</f>
        <v>Construction of Berm or Barrier to prevent Access</v>
      </c>
      <c r="D29" s="239" t="s">
        <v>49</v>
      </c>
      <c r="E29" s="240"/>
      <c r="F29" s="246" t="str">
        <f>VLOOKUP($B29,Activities!$A$10:$P$152,4,FALSE)</f>
        <v>Lin m</v>
      </c>
      <c r="G29" s="1269"/>
      <c r="H29" s="1270"/>
      <c r="I29" s="273">
        <f>VLOOKUP($B29,Activities!$A$10:$S$152,16,FALSE)</f>
        <v>56.743935369018423</v>
      </c>
      <c r="J29" s="269"/>
      <c r="K29" s="388">
        <f t="shared" si="4"/>
        <v>0</v>
      </c>
      <c r="L29" s="248" t="str">
        <f>IFERROR(IF(D29="Y",K29/$K$58,0%),"0.0%")</f>
        <v>0.0%</v>
      </c>
      <c r="M29" s="290" t="str">
        <f>VLOOKUP($B29,Activities!$A$10:$S$152,19,FALSE)</f>
        <v>The activity covers the construction of a Berm or Barrier to prevent access.  The Barrier is designed to prevent vehicular access and is a significant size to do this.</v>
      </c>
      <c r="N29" s="233"/>
    </row>
    <row r="30" spans="1:24" ht="63" customHeight="1" thickBot="1" x14ac:dyDescent="0.3">
      <c r="A30" s="1334"/>
      <c r="B30" s="614" t="s">
        <v>16</v>
      </c>
      <c r="C30" s="259" t="str">
        <f>VLOOKUP($B30,Activities!$A$10:$P$152,3,FALSE)</f>
        <v>Load and haul of mined, processed, stockpiled materials or topsoil</v>
      </c>
      <c r="D30" s="239" t="s">
        <v>49</v>
      </c>
      <c r="E30" s="240"/>
      <c r="F30" s="246" t="str">
        <f>VLOOKUP($B30,Activities!$A$10:$P$152,4,FALSE)</f>
        <v>m3</v>
      </c>
      <c r="G30" s="313" t="s">
        <v>51</v>
      </c>
      <c r="H30" s="167" t="s">
        <v>264</v>
      </c>
      <c r="I30" s="272">
        <f>VLOOKUP(H30,U3:V7,2)</f>
        <v>0</v>
      </c>
      <c r="J30" s="612"/>
      <c r="K30" s="613">
        <f>IF(D30="Y",IF(J30="",I30*E30,J30*E30),"")</f>
        <v>0</v>
      </c>
      <c r="L30" s="248" t="str">
        <f>IFERROR(IF(D30="Y",K30/$K$66,0%),"0.0%")</f>
        <v>0.0%</v>
      </c>
      <c r="M30" s="290" t="str">
        <f>VLOOKUP($B30,Activities!$A$10:$S$152,19,FALSE)</f>
        <v>This activity involves loading into a truck of material previously mined, processed material or topsoil, and hauling a selected distance.</v>
      </c>
      <c r="N30" s="233"/>
      <c r="O30" s="47"/>
    </row>
    <row r="31" spans="1:24" ht="63" customHeight="1" thickBot="1" x14ac:dyDescent="0.3">
      <c r="A31" s="1334"/>
      <c r="B31" s="245" t="s">
        <v>17</v>
      </c>
      <c r="C31" s="259" t="str">
        <f>VLOOKUP($B31,Activities!$A$10:$P$152,3,FALSE)</f>
        <v xml:space="preserve">Excavation of earthen materials from local borrow pits, plus haulage </v>
      </c>
      <c r="D31" s="239" t="s">
        <v>49</v>
      </c>
      <c r="E31" s="240"/>
      <c r="F31" s="246" t="str">
        <f>VLOOKUP($B31,Activities!$A$10:$P$152,4,FALSE)</f>
        <v>m3</v>
      </c>
      <c r="G31" s="313" t="s">
        <v>51</v>
      </c>
      <c r="H31" s="140" t="s">
        <v>264</v>
      </c>
      <c r="I31" s="272">
        <f>VLOOKUP(H31,U10:V14,2)</f>
        <v>0</v>
      </c>
      <c r="J31" s="269"/>
      <c r="K31" s="388">
        <f t="shared" ref="K31" si="5">IF(D31="Y",IF(J31="",I31*E31,J31*E31),"")</f>
        <v>0</v>
      </c>
      <c r="L31" s="248" t="str">
        <f>IFERROR(IF(D31="Y",K31/$K$57,0%),"0.0%")</f>
        <v>0.0%</v>
      </c>
      <c r="M31" s="290" t="str">
        <f>VLOOKUP($B31,Activities!$A$10:$S$152,19,FALSE)</f>
        <v>This activity involves the excavation of earthern material from a local borrow pit and the loading of that material into a truck.  Haulage cost based on distance hauled.</v>
      </c>
      <c r="N31" s="233"/>
      <c r="O31" s="47"/>
      <c r="P31" s="233"/>
      <c r="Q31" s="233"/>
      <c r="R31" s="233"/>
      <c r="S31" s="233"/>
      <c r="T31" s="233"/>
      <c r="U31" s="233"/>
      <c r="V31" s="233"/>
    </row>
    <row r="32" spans="1:24" ht="54" customHeight="1" thickBot="1" x14ac:dyDescent="0.3">
      <c r="A32" s="1334"/>
      <c r="B32" s="245" t="s">
        <v>18</v>
      </c>
      <c r="C32" s="259" t="str">
        <f>VLOOKUP($B32,Activities!$A$10:$P$152,3,FALSE)</f>
        <v>Spreading Materials on ground or an open area excluding compaction (&gt;1,000m3)</v>
      </c>
      <c r="D32" s="239" t="s">
        <v>49</v>
      </c>
      <c r="E32" s="240"/>
      <c r="F32" s="246" t="str">
        <f>VLOOKUP($B32,Activities!$A$10:$P$152,4,FALSE)</f>
        <v>m3</v>
      </c>
      <c r="G32" s="1269"/>
      <c r="H32" s="1270"/>
      <c r="I32" s="272">
        <f>VLOOKUP($B32,Activities!$A$10:$S$152,16,FALSE)</f>
        <v>1.0890037105820705</v>
      </c>
      <c r="J32" s="269"/>
      <c r="K32" s="388">
        <f t="shared" ref="K32:K37" si="6">IF(D32="Y",IF(J32="",I32*E32,J32*E32),0)</f>
        <v>0</v>
      </c>
      <c r="L32" s="248" t="str">
        <f t="shared" ref="L32:L37" si="7">IFERROR(IF(D32="Y",K32/$K$58,0%),"0.0%")</f>
        <v>0.0%</v>
      </c>
      <c r="M32" s="290" t="str">
        <f>VLOOKUP($B32,Activities!$A$10:$S$152,19,FALSE)</f>
        <v xml:space="preserve">This activity involves the spreading of material that has been transported and dumped at the work area. </v>
      </c>
      <c r="N32" s="233"/>
      <c r="O32" s="47"/>
      <c r="P32" s="136"/>
      <c r="Q32" s="136"/>
      <c r="R32" s="136"/>
      <c r="S32" s="136"/>
      <c r="T32" s="136"/>
      <c r="U32" s="136"/>
      <c r="V32" s="136"/>
    </row>
    <row r="33" spans="1:19" ht="54" customHeight="1" thickBot="1" x14ac:dyDescent="0.3">
      <c r="A33" s="1334"/>
      <c r="B33" s="245" t="s">
        <v>79</v>
      </c>
      <c r="C33" s="259" t="str">
        <f>VLOOKUP($B33,Activities!$A$10:$P$152,3,FALSE)</f>
        <v>Minor Shaping across a Dump or Disturbed Area</v>
      </c>
      <c r="D33" s="239" t="s">
        <v>49</v>
      </c>
      <c r="E33" s="240"/>
      <c r="F33" s="246" t="str">
        <f>VLOOKUP($B33,Activities!$A$10:$P$152,4,FALSE)</f>
        <v>Ha</v>
      </c>
      <c r="G33" s="1269"/>
      <c r="H33" s="1270"/>
      <c r="I33" s="273">
        <f>VLOOKUP($B33,Activities!$A$10:$S$152,16,FALSE)</f>
        <v>2987.2221197728068</v>
      </c>
      <c r="J33" s="269"/>
      <c r="K33" s="388">
        <f t="shared" si="6"/>
        <v>0</v>
      </c>
      <c r="L33" s="248" t="str">
        <f t="shared" si="7"/>
        <v>0.0%</v>
      </c>
      <c r="M33" s="290" t="str">
        <f>VLOOKUP($B33,Activities!$A$10:$S$152,19,FALSE)</f>
        <v xml:space="preserve">This activity covers minor shaping shifting pushing across a dump or disturbed area.  It is based on a rate per hectare.  It covers area where there needs to be some clearing work, tidying up of disturbed ground,  but not just bulk pushing </v>
      </c>
      <c r="N33" s="233"/>
      <c r="O33" s="47"/>
    </row>
    <row r="34" spans="1:19" ht="54" customHeight="1" thickBot="1" x14ac:dyDescent="0.3">
      <c r="A34" s="1334"/>
      <c r="B34" s="102" t="s">
        <v>13</v>
      </c>
      <c r="C34" s="259" t="str">
        <f>VLOOKUP($B34,Activities!$A$10:$P$152,3,FALSE)</f>
        <v>Major Bulk Pushing/Dozing to achieve Final Land Forms</v>
      </c>
      <c r="D34" s="239" t="s">
        <v>49</v>
      </c>
      <c r="E34" s="240"/>
      <c r="F34" s="246" t="str">
        <f>VLOOKUP($B34,Activities!$A$10:$P$152,4,FALSE)</f>
        <v>m3</v>
      </c>
      <c r="G34" s="1269"/>
      <c r="H34" s="1270"/>
      <c r="I34" s="272">
        <f>VLOOKUP($B34,Activities!$A$10:$S$152,16,FALSE)</f>
        <v>0.96390609627070267</v>
      </c>
      <c r="J34" s="269"/>
      <c r="K34" s="388">
        <f t="shared" si="6"/>
        <v>0</v>
      </c>
      <c r="L34" s="248" t="str">
        <f t="shared" si="7"/>
        <v>0.0%</v>
      </c>
      <c r="M34" s="290" t="str">
        <f>VLOOKUP($B34,Activities!$A$10:$S$152,19,FALSE)</f>
        <v>This unit cost covers the use of a dozer to push material within reasonable confines to achieve a Final Land Form.  It is often undertaken prior to covering a tailing storage facility</v>
      </c>
      <c r="N34" s="233"/>
    </row>
    <row r="35" spans="1:19" ht="54" customHeight="1" thickBot="1" x14ac:dyDescent="0.3">
      <c r="A35" s="1334"/>
      <c r="B35" s="258" t="s">
        <v>80</v>
      </c>
      <c r="C35" s="259" t="str">
        <f>VLOOKUP($B35,Activities!$A$10:$P$152,3,FALSE)</f>
        <v>Construction of Water Run-off Management Structures and/or Dams</v>
      </c>
      <c r="D35" s="239" t="s">
        <v>49</v>
      </c>
      <c r="E35" s="240"/>
      <c r="F35" s="246" t="str">
        <f>VLOOKUP($B35,Activities!$A$10:$P$152,4,FALSE)</f>
        <v>Ha</v>
      </c>
      <c r="G35" s="1269"/>
      <c r="H35" s="1270"/>
      <c r="I35" s="273">
        <f>VLOOKUP($B35,Activities!$A$10:$S$152,16,FALSE)</f>
        <v>7806.9613461745139</v>
      </c>
      <c r="J35" s="269"/>
      <c r="K35" s="388">
        <f t="shared" si="6"/>
        <v>0</v>
      </c>
      <c r="L35" s="248" t="str">
        <f t="shared" si="7"/>
        <v>0.0%</v>
      </c>
      <c r="M35" s="290" t="str">
        <f>VLOOKUP($B35,Activities!$A$10:$S$152,19,FALSE)</f>
        <v>This activity is a general activity and it involves shaping of critical areas, the construction of minor water management drains, rock lining of the drains, dams and diversion channels to manage water run-off from the area. It is based on a rate per hectare (based only on the hectares associated with the run-off management) and includes channel excavation, rock lining and minor dam construction.  (Operator may prefer to better define this activity)</v>
      </c>
      <c r="N35" s="233"/>
    </row>
    <row r="36" spans="1:19" ht="54" customHeight="1" thickBot="1" x14ac:dyDescent="0.3">
      <c r="A36" s="1334"/>
      <c r="B36" s="258" t="s">
        <v>92</v>
      </c>
      <c r="C36" s="259" t="str">
        <f>VLOOKUP($B36,Activities!$A$10:$P$152,3,FALSE)</f>
        <v xml:space="preserve">Construction of a 6' chain mesh security fience around the perimeter </v>
      </c>
      <c r="D36" s="239" t="s">
        <v>49</v>
      </c>
      <c r="E36" s="240"/>
      <c r="F36" s="246" t="str">
        <f>VLOOKUP($B36,Activities!$A$10:$P$152,4,FALSE)</f>
        <v>km</v>
      </c>
      <c r="G36" s="1269"/>
      <c r="H36" s="1270"/>
      <c r="I36" s="273">
        <f>VLOOKUP($B36,Activities!$A$10:$S$152,16,FALSE)</f>
        <v>78632.004774033849</v>
      </c>
      <c r="J36" s="269"/>
      <c r="K36" s="388">
        <f t="shared" si="6"/>
        <v>0</v>
      </c>
      <c r="L36" s="248" t="str">
        <f t="shared" si="7"/>
        <v>0.0%</v>
      </c>
      <c r="M36" s="290" t="str">
        <f>VLOOKUP($B36,Activities!$A$10:$S$152,19,FALSE)</f>
        <v>This activity involves the construction of a chain mesh security fence to restrict and prevent access.   It includes an allowance for gates.</v>
      </c>
      <c r="N36" s="233"/>
    </row>
    <row r="37" spans="1:19" ht="54" customHeight="1" thickBot="1" x14ac:dyDescent="0.3">
      <c r="A37" s="1335"/>
      <c r="B37" s="258" t="s">
        <v>25</v>
      </c>
      <c r="C37" s="259" t="str">
        <f>VLOOKUP($B37,Activities!$A$10:$P$152,3,FALSE)</f>
        <v xml:space="preserve">Construction of a stock proof fence including appropriate gates </v>
      </c>
      <c r="D37" s="239" t="s">
        <v>49</v>
      </c>
      <c r="E37" s="240"/>
      <c r="F37" s="246" t="str">
        <f>VLOOKUP($B37,Activities!$A$10:$P$152,4,FALSE)</f>
        <v>km</v>
      </c>
      <c r="G37" s="1269"/>
      <c r="H37" s="1270"/>
      <c r="I37" s="273">
        <f>VLOOKUP($B37,Activities!$A$10:$S$152,16,FALSE)</f>
        <v>13302.992584007126</v>
      </c>
      <c r="J37" s="269"/>
      <c r="K37" s="388">
        <f t="shared" si="6"/>
        <v>0</v>
      </c>
      <c r="L37" s="248" t="str">
        <f t="shared" si="7"/>
        <v>0.0%</v>
      </c>
      <c r="M37" s="290" t="str">
        <f>VLOOKUP($B37,Activities!$A$10:$S$152,19,FALSE)</f>
        <v>This activity involves the construction of a stock proof fence to protect revegetation against stock and to provide an obstacle to persons to prevent inadvertant access.  It is not designed to prevent a person climbing over it.  It includes an allowance for gates.</v>
      </c>
      <c r="N37" s="233"/>
    </row>
    <row r="38" spans="1:19" ht="16.5" thickBot="1" x14ac:dyDescent="0.3">
      <c r="A38" s="293" t="s">
        <v>53</v>
      </c>
      <c r="B38" s="250" t="str">
        <f>A27</f>
        <v>Primary Earthworks and Shaping of the Pit</v>
      </c>
      <c r="C38" s="251"/>
      <c r="D38" s="252"/>
      <c r="E38" s="253"/>
      <c r="F38" s="252"/>
      <c r="G38" s="252"/>
      <c r="H38" s="252"/>
      <c r="I38" s="353"/>
      <c r="J38" s="354"/>
      <c r="K38" s="256">
        <f>SUM(K27:K37)</f>
        <v>0</v>
      </c>
      <c r="L38" s="252"/>
      <c r="M38" s="257"/>
      <c r="N38" s="233"/>
      <c r="P38" s="47"/>
      <c r="Q38" s="47"/>
      <c r="R38" s="47"/>
      <c r="S38" s="47"/>
    </row>
    <row r="39" spans="1:19" ht="51" customHeight="1" thickBot="1" x14ac:dyDescent="0.3">
      <c r="A39" s="1333" t="s">
        <v>490</v>
      </c>
      <c r="B39" s="245" t="s">
        <v>70</v>
      </c>
      <c r="C39" s="259" t="str">
        <f>VLOOKUP($B39,Activities!$A$10:$P$152,3,FALSE)</f>
        <v>Sourcing, Carting and Spreading of Topsoil over an Area</v>
      </c>
      <c r="D39" s="239" t="s">
        <v>49</v>
      </c>
      <c r="E39" s="346"/>
      <c r="F39" s="246" t="str">
        <f>VLOOKUP($B39,Activities!$A$10:$P$152,4,FALSE)</f>
        <v>m3</v>
      </c>
      <c r="G39" s="313" t="s">
        <v>51</v>
      </c>
      <c r="H39" s="140" t="s">
        <v>264</v>
      </c>
      <c r="I39" s="272">
        <f>VLOOKUP(H39,U17:V22,2)</f>
        <v>0</v>
      </c>
      <c r="J39" s="269"/>
      <c r="K39" s="388">
        <f>IF(D39="Y",IF(J39="",I39*E39,J39*E39),"")</f>
        <v>0</v>
      </c>
      <c r="L39" s="248" t="str">
        <f>IFERROR(IF(D39="Y",K39/$K$57,0%),"0.0%")</f>
        <v>0.0%</v>
      </c>
      <c r="M39" s="290" t="str">
        <f>VLOOKUP($B39,Activities!$A$10:$S$152,19,FALSE)</f>
        <v>This activity covers the sourcing of topsoil or suitable growth medium, transporting from the source to the required area and then spreading it over that area.</v>
      </c>
      <c r="N39" s="233"/>
      <c r="P39" s="47"/>
      <c r="Q39" s="47"/>
      <c r="R39" s="47"/>
      <c r="S39" s="47"/>
    </row>
    <row r="40" spans="1:19" ht="52.5" customHeight="1" thickBot="1" x14ac:dyDescent="0.3">
      <c r="A40" s="1334"/>
      <c r="B40" s="245" t="s">
        <v>21</v>
      </c>
      <c r="C40" s="259" t="str">
        <f>VLOOKUP($B40,Activities!$A$10:$P$152,3,FALSE)</f>
        <v>Scarification to promote vegetation growth</v>
      </c>
      <c r="D40" s="239" t="s">
        <v>49</v>
      </c>
      <c r="E40" s="242"/>
      <c r="F40" s="246" t="str">
        <f>VLOOKUP($B40,Activities!$A$10:$P$152,4,FALSE)</f>
        <v>Ha</v>
      </c>
      <c r="G40" s="1269"/>
      <c r="H40" s="1270"/>
      <c r="I40" s="273">
        <f>VLOOKUP($B40,Activities!$A$10:$S$152,16,FALSE)</f>
        <v>323.54530924221694</v>
      </c>
      <c r="J40" s="269"/>
      <c r="K40" s="388">
        <f>IF(D40="Y",IF(J40="",I40*E40,J40*E40),"")</f>
        <v>0</v>
      </c>
      <c r="L40" s="248" t="str">
        <f>IFERROR(IF(D40="Y",K40/$K$57,0%),"0.0%")</f>
        <v>0.0%</v>
      </c>
      <c r="M40" s="290" t="str">
        <f>VLOOKUP($B40,Activities!$A$10:$S$152,19,FALSE)</f>
        <v xml:space="preserve">This activity is undertaken in preparation for the seeding of a particular area.  </v>
      </c>
      <c r="N40" s="233"/>
      <c r="P40" s="47"/>
      <c r="Q40" s="47"/>
      <c r="R40" s="47"/>
      <c r="S40" s="47"/>
    </row>
    <row r="41" spans="1:19" ht="52.5" customHeight="1" thickBot="1" x14ac:dyDescent="0.3">
      <c r="A41" s="1334"/>
      <c r="B41" s="245" t="s">
        <v>626</v>
      </c>
      <c r="C41" s="259" t="str">
        <f>VLOOKUP($B41,Activities!$A$10:$P$152,3,FALSE)</f>
        <v>Purchase and single application of ground ameliorants (e.g. gypsum)</v>
      </c>
      <c r="D41" s="239" t="s">
        <v>49</v>
      </c>
      <c r="E41" s="320"/>
      <c r="F41" s="246" t="str">
        <f>VLOOKUP($B41,Activities!$A$10:$P$152,4,FALSE)</f>
        <v>Ha</v>
      </c>
      <c r="G41" s="1269"/>
      <c r="H41" s="1270"/>
      <c r="I41" s="273">
        <f>VLOOKUP($B41,Activities!$A$10:$S$152,16,FALSE)</f>
        <v>877.38983538153695</v>
      </c>
      <c r="J41" s="269"/>
      <c r="K41" s="388">
        <f t="shared" ref="K41:K49" si="8">IF(D41="Y",IF(J41="",I41*E41,J41*E41),0)</f>
        <v>0</v>
      </c>
      <c r="L41" s="248" t="str">
        <f t="shared" ref="L41:L49" si="9">IFERROR(IF(D41="Y",K41/$K$58,0%),"0.0%")</f>
        <v>0.0%</v>
      </c>
      <c r="M41" s="290" t="str">
        <f>VLOOKUP($B41,Activities!$A$10:$S$152,19,FALSE)</f>
        <v>This Activity includes the purchase and single application of ground ameliorants (e.g. gypsum).</v>
      </c>
      <c r="N41" s="233"/>
      <c r="P41" s="47"/>
      <c r="Q41" s="47"/>
      <c r="R41" s="47"/>
      <c r="S41" s="47"/>
    </row>
    <row r="42" spans="1:19" ht="52.5" customHeight="1" thickBot="1" x14ac:dyDescent="0.3">
      <c r="A42" s="1334"/>
      <c r="B42" s="245" t="s">
        <v>627</v>
      </c>
      <c r="C42" s="259" t="str">
        <f>VLOOKUP($B42,Activities!$A$10:$P$152,3,FALSE)</f>
        <v>The purchase only of non-native pasture grasses</v>
      </c>
      <c r="D42" s="239" t="s">
        <v>49</v>
      </c>
      <c r="E42" s="320"/>
      <c r="F42" s="246" t="str">
        <f>VLOOKUP($B42,Activities!$A$10:$P$152,4,FALSE)</f>
        <v>Ha</v>
      </c>
      <c r="G42" s="1269"/>
      <c r="H42" s="1270"/>
      <c r="I42" s="273">
        <f>VLOOKUP($B42,Activities!$A$10:$S$152,16,FALSE)</f>
        <v>1774.5180283018869</v>
      </c>
      <c r="J42" s="269"/>
      <c r="K42" s="388">
        <f t="shared" si="8"/>
        <v>0</v>
      </c>
      <c r="L42" s="248" t="str">
        <f t="shared" si="9"/>
        <v>0.0%</v>
      </c>
      <c r="M42" s="290" t="str">
        <f>VLOOKUP($B42,Activities!$A$10:$S$152,19,FALSE)</f>
        <v>This activity covers the purchase of non-native pasture grasses</v>
      </c>
      <c r="N42" s="233"/>
    </row>
    <row r="43" spans="1:19" ht="52.5" customHeight="1" thickBot="1" x14ac:dyDescent="0.3">
      <c r="A43" s="1334"/>
      <c r="B43" s="245" t="s">
        <v>628</v>
      </c>
      <c r="C43" s="259" t="str">
        <f>VLOOKUP($B43,Activities!$A$10:$P$152,3,FALSE)</f>
        <v>The purchase only of general native seed mix</v>
      </c>
      <c r="D43" s="239" t="s">
        <v>49</v>
      </c>
      <c r="E43" s="320"/>
      <c r="F43" s="246" t="str">
        <f>VLOOKUP($B43,Activities!$A$10:$P$152,4,FALSE)</f>
        <v>Ha</v>
      </c>
      <c r="G43" s="1269"/>
      <c r="H43" s="1270"/>
      <c r="I43" s="273">
        <f>VLOOKUP($B43,Activities!$A$10:$S$152,16,FALSE)</f>
        <v>3439.8717452830197</v>
      </c>
      <c r="J43" s="269"/>
      <c r="K43" s="388">
        <f t="shared" si="8"/>
        <v>0</v>
      </c>
      <c r="L43" s="248" t="str">
        <f t="shared" si="9"/>
        <v>0.0%</v>
      </c>
      <c r="M43" s="290" t="str">
        <f>VLOOKUP($B43,Activities!$A$10:$S$152,19,FALSE)</f>
        <v>This activity covers the purchase of general native seed mix</v>
      </c>
      <c r="N43" s="233"/>
    </row>
    <row r="44" spans="1:19" ht="52.5" customHeight="1" thickBot="1" x14ac:dyDescent="0.3">
      <c r="A44" s="1334"/>
      <c r="B44" s="245" t="s">
        <v>629</v>
      </c>
      <c r="C44" s="259" t="str">
        <f>VLOOKUP($B44,Activities!$A$10:$P$152,3,FALSE)</f>
        <v>The purchase only of local provenance native seed mix</v>
      </c>
      <c r="D44" s="239" t="s">
        <v>49</v>
      </c>
      <c r="E44" s="320"/>
      <c r="F44" s="246" t="str">
        <f>VLOOKUP($B44,Activities!$A$10:$P$152,4,FALSE)</f>
        <v>Ha</v>
      </c>
      <c r="G44" s="1269"/>
      <c r="H44" s="1270"/>
      <c r="I44" s="273">
        <f>VLOOKUP($B44,Activities!$A$10:$S$152,16,FALSE)</f>
        <v>10525.680933962265</v>
      </c>
      <c r="J44" s="269"/>
      <c r="K44" s="388">
        <f t="shared" si="8"/>
        <v>0</v>
      </c>
      <c r="L44" s="248" t="str">
        <f t="shared" si="9"/>
        <v>0.0%</v>
      </c>
      <c r="M44" s="290" t="str">
        <f>VLOOKUP($B44,Activities!$A$10:$S$152,19,FALSE)</f>
        <v>This activity covers the purchase of local provenance native seed mix</v>
      </c>
      <c r="N44" s="233"/>
    </row>
    <row r="45" spans="1:19" ht="52.5" customHeight="1" thickBot="1" x14ac:dyDescent="0.3">
      <c r="A45" s="1334"/>
      <c r="B45" s="245" t="s">
        <v>630</v>
      </c>
      <c r="C45" s="259" t="str">
        <f>VLOOKUP($B45,Activities!$A$10:$P$152,3,FALSE)</f>
        <v>The purchase only of fertiliser for broadcast application</v>
      </c>
      <c r="D45" s="239" t="s">
        <v>49</v>
      </c>
      <c r="E45" s="320"/>
      <c r="F45" s="246" t="str">
        <f>VLOOKUP($B45,Activities!$A$10:$P$152,4,FALSE)</f>
        <v>Ha</v>
      </c>
      <c r="G45" s="1269"/>
      <c r="H45" s="1270"/>
      <c r="I45" s="273">
        <f>VLOOKUP($B45,Activities!$A$10:$S$152,16,FALSE)</f>
        <v>613.30500000000006</v>
      </c>
      <c r="J45" s="269"/>
      <c r="K45" s="388">
        <f t="shared" si="8"/>
        <v>0</v>
      </c>
      <c r="L45" s="248" t="str">
        <f t="shared" si="9"/>
        <v>0.0%</v>
      </c>
      <c r="M45" s="290" t="str">
        <f>VLOOKUP($B45,Activities!$A$10:$S$152,19,FALSE)</f>
        <v>This activity covers the purchase of local fertiliser for broadcast application.  It does not inlcude the application.</v>
      </c>
      <c r="N45" s="233"/>
    </row>
    <row r="46" spans="1:19" ht="52.5" customHeight="1" thickBot="1" x14ac:dyDescent="0.3">
      <c r="A46" s="1334"/>
      <c r="B46" s="245" t="s">
        <v>631</v>
      </c>
      <c r="C46" s="259" t="str">
        <f>VLOOKUP($B46,Activities!$A$10:$P$152,3,FALSE)</f>
        <v>The purchase of native tubestock (including slow release fertiliser)</v>
      </c>
      <c r="D46" s="239" t="s">
        <v>49</v>
      </c>
      <c r="E46" s="320"/>
      <c r="F46" s="246" t="str">
        <f>VLOOKUP($B46,Activities!$A$10:$P$152,4,FALSE)</f>
        <v>Ha</v>
      </c>
      <c r="G46" s="1269"/>
      <c r="H46" s="1270"/>
      <c r="I46" s="273">
        <f>VLOOKUP($B46,Activities!$A$10:$S$152,16,FALSE)</f>
        <v>19729.952830188682</v>
      </c>
      <c r="J46" s="269"/>
      <c r="K46" s="388">
        <f t="shared" si="8"/>
        <v>0</v>
      </c>
      <c r="L46" s="248" t="str">
        <f t="shared" si="9"/>
        <v>0.0%</v>
      </c>
      <c r="M46" s="290" t="str">
        <f>VLOOKUP($B46,Activities!$A$10:$S$152,19,FALSE)</f>
        <v>The Activity includes the purchase of native tubestock (including slow release fertiliser).  It does not include planting.</v>
      </c>
      <c r="N46" s="233"/>
    </row>
    <row r="47" spans="1:19" ht="52.5" customHeight="1" thickBot="1" x14ac:dyDescent="0.3">
      <c r="A47" s="1334"/>
      <c r="B47" s="245" t="s">
        <v>632</v>
      </c>
      <c r="C47" s="259" t="str">
        <f>VLOOKUP($B47,Activities!$A$10:$P$152,3,FALSE)</f>
        <v>Direct seeding along rip line or mechanical broadcast seeding</v>
      </c>
      <c r="D47" s="239" t="s">
        <v>49</v>
      </c>
      <c r="E47" s="320"/>
      <c r="F47" s="246" t="str">
        <f>VLOOKUP($B47,Activities!$A$10:$P$152,4,FALSE)</f>
        <v>Ha</v>
      </c>
      <c r="G47" s="1269"/>
      <c r="H47" s="1270"/>
      <c r="I47" s="273">
        <f>VLOOKUP($B47,Activities!$A$10:$S$152,16,FALSE)</f>
        <v>2100.7838269402318</v>
      </c>
      <c r="J47" s="269"/>
      <c r="K47" s="388">
        <f t="shared" si="8"/>
        <v>0</v>
      </c>
      <c r="L47" s="248" t="str">
        <f t="shared" si="9"/>
        <v>0.0%</v>
      </c>
      <c r="M47" s="290" t="str">
        <f>VLOOKUP($B47,Activities!$A$10:$S$152,19,FALSE)</f>
        <v>Sowing of separately purchased seed and or fertiliser for broadcast application that involves scattering seed, by hand or mechanically, over a relatively large area.</v>
      </c>
      <c r="N47" s="233"/>
    </row>
    <row r="48" spans="1:19" ht="52.5" customHeight="1" thickBot="1" x14ac:dyDescent="0.3">
      <c r="A48" s="1334"/>
      <c r="B48" s="245" t="s">
        <v>633</v>
      </c>
      <c r="C48" s="259" t="str">
        <f>VLOOKUP($B48,Activities!$A$10:$P$152,3,FALSE)</f>
        <v>Hydromulching (does not include seed or fertiliser)</v>
      </c>
      <c r="D48" s="239" t="s">
        <v>49</v>
      </c>
      <c r="E48" s="240"/>
      <c r="F48" s="246" t="str">
        <f>VLOOKUP($B48,Activities!$A$10:$P$152,4,FALSE)</f>
        <v>Ha</v>
      </c>
      <c r="G48" s="1269"/>
      <c r="H48" s="1270"/>
      <c r="I48" s="273">
        <f>VLOOKUP($B48,Activities!$A$10:$S$152,16,FALSE)</f>
        <v>1583.2664818030244</v>
      </c>
      <c r="J48" s="269"/>
      <c r="K48" s="388">
        <f t="shared" si="8"/>
        <v>0</v>
      </c>
      <c r="L48" s="248" t="str">
        <f t="shared" si="9"/>
        <v>0.0%</v>
      </c>
      <c r="M48" s="290" t="str">
        <f>VLOOKUP($B48,Activities!$A$10:$S$152,19,FALSE)</f>
        <v>Hydromulching planting process that uses a slurry of seed and mulch. It is often used as an erosion control technique as an alternative to the traditional process of broadcasting or sowing dry seed.</v>
      </c>
      <c r="N48" s="233"/>
    </row>
    <row r="49" spans="1:14" ht="52.5" customHeight="1" thickBot="1" x14ac:dyDescent="0.3">
      <c r="A49" s="1334"/>
      <c r="B49" s="245" t="s">
        <v>717</v>
      </c>
      <c r="C49" s="259" t="str">
        <f>VLOOKUP($B49,Activities!$A$10:$P$152,3,FALSE)</f>
        <v>Planting of tubestock &lt;15cm (assumes 1,000 plants per hectare)</v>
      </c>
      <c r="D49" s="239" t="s">
        <v>49</v>
      </c>
      <c r="E49" s="240"/>
      <c r="F49" s="246" t="str">
        <f>VLOOKUP($B49,Activities!$A$10:$P$152,4,FALSE)</f>
        <v>Ha</v>
      </c>
      <c r="G49" s="1269"/>
      <c r="H49" s="1270"/>
      <c r="I49" s="273">
        <f>VLOOKUP($B49,Activities!$A$10:$S$152,16,FALSE)</f>
        <v>1714.118869047619</v>
      </c>
      <c r="J49" s="269"/>
      <c r="K49" s="388">
        <f t="shared" si="8"/>
        <v>0</v>
      </c>
      <c r="L49" s="248" t="str">
        <f t="shared" si="9"/>
        <v>0.0%</v>
      </c>
      <c r="M49" s="290" t="str">
        <f>VLOOKUP($B49,Activities!$A$10:$S$152,19,FALSE)</f>
        <v>This Activity covers the hand planting of tubestock plants across a broad area.</v>
      </c>
      <c r="N49" s="233"/>
    </row>
    <row r="50" spans="1:14" ht="16.5" thickBot="1" x14ac:dyDescent="0.3">
      <c r="A50" s="293" t="s">
        <v>53</v>
      </c>
      <c r="B50" s="250" t="str">
        <f>A39</f>
        <v>Topsoil Preparation and Revegetation of the Area</v>
      </c>
      <c r="C50" s="251"/>
      <c r="D50" s="252"/>
      <c r="E50" s="253"/>
      <c r="F50" s="252"/>
      <c r="G50" s="252"/>
      <c r="H50" s="252"/>
      <c r="I50" s="353"/>
      <c r="J50" s="354"/>
      <c r="K50" s="256">
        <f>SUM(K39:K49)</f>
        <v>0</v>
      </c>
      <c r="L50" s="252"/>
      <c r="M50" s="257"/>
      <c r="N50" s="233"/>
    </row>
    <row r="51" spans="1:14" ht="58.5" customHeight="1" thickBot="1" x14ac:dyDescent="0.3">
      <c r="A51" s="1333" t="s">
        <v>491</v>
      </c>
      <c r="B51" s="245" t="s">
        <v>451</v>
      </c>
      <c r="C51" s="259" t="str">
        <f>VLOOKUP($B51,Activities!$A$10:$P$152,3,FALSE)</f>
        <v>Construction of Water Diversion Channels/Drains</v>
      </c>
      <c r="D51" s="239" t="s">
        <v>49</v>
      </c>
      <c r="E51" s="240"/>
      <c r="F51" s="246" t="str">
        <f>VLOOKUP($B51,Activities!$A$10:$P$152,4,FALSE)</f>
        <v>lin m</v>
      </c>
      <c r="G51" s="1269"/>
      <c r="H51" s="1270"/>
      <c r="I51" s="272">
        <f>VLOOKUP($B51,Activities!$A$10:$S$152,16,FALSE)</f>
        <v>99.880946449499689</v>
      </c>
      <c r="J51" s="269"/>
      <c r="K51" s="388">
        <f t="shared" ref="K51" si="10">IF(D51="Y",IF(J51="",I51*E51,J51*E51),0)</f>
        <v>0</v>
      </c>
      <c r="L51" s="248" t="str">
        <f t="shared" ref="L51" si="11">IFERROR(IF(D51="Y",K51/$K$58,0%),"0.0%")</f>
        <v>0.0%</v>
      </c>
      <c r="M51" s="290" t="str">
        <f>VLOOKUP($B51,Activities!$A$10:$S$152,19,FALSE)</f>
        <v xml:space="preserve">The activity covers the occasions when it is necessary to construct a diversion channel to either divert water away from an area or to channel water from one area to another.  The assumption is that the level of water flowing through the channel is limited rather than a creek flow or major outflow.  Some allowance has been made for the incorporation of minor rock or velocity limiting structures but not major spillways or energy dissipaters. </v>
      </c>
      <c r="N51" s="233"/>
    </row>
    <row r="52" spans="1:14" ht="47.25" customHeight="1" thickBot="1" x14ac:dyDescent="0.3">
      <c r="A52" s="1334"/>
      <c r="B52" s="270"/>
      <c r="C52" s="218" t="s">
        <v>55</v>
      </c>
      <c r="D52" s="239" t="s">
        <v>49</v>
      </c>
      <c r="E52" s="346"/>
      <c r="F52" s="296"/>
      <c r="G52" s="1269"/>
      <c r="H52" s="1270"/>
      <c r="I52" s="355" t="s">
        <v>475</v>
      </c>
      <c r="J52" s="269"/>
      <c r="K52" s="390">
        <f>IF(D52="Y",J52*E52,"")</f>
        <v>0</v>
      </c>
      <c r="L52" s="248" t="str">
        <f>IFERROR(IF(D52="Y",K52/$K$57,0%),"0.0%")</f>
        <v>0.0%</v>
      </c>
      <c r="M52" s="139" t="s">
        <v>56</v>
      </c>
      <c r="N52" s="233"/>
    </row>
    <row r="53" spans="1:14" ht="47.25" customHeight="1" thickBot="1" x14ac:dyDescent="0.3">
      <c r="A53" s="1334"/>
      <c r="B53" s="270"/>
      <c r="C53" s="218" t="s">
        <v>55</v>
      </c>
      <c r="D53" s="239" t="s">
        <v>49</v>
      </c>
      <c r="E53" s="346"/>
      <c r="F53" s="296"/>
      <c r="G53" s="1269"/>
      <c r="H53" s="1270"/>
      <c r="I53" s="355" t="s">
        <v>475</v>
      </c>
      <c r="J53" s="269"/>
      <c r="K53" s="390">
        <f>IF(D53="Y",J53*E53,"")</f>
        <v>0</v>
      </c>
      <c r="L53" s="248" t="str">
        <f>IFERROR(IF(D53="Y",K53/$K$57,0%),"0.0%")</f>
        <v>0.0%</v>
      </c>
      <c r="M53" s="139" t="s">
        <v>56</v>
      </c>
      <c r="N53" s="233"/>
    </row>
    <row r="54" spans="1:14" ht="47.25" customHeight="1" thickBot="1" x14ac:dyDescent="0.3">
      <c r="A54" s="1335"/>
      <c r="B54" s="270"/>
      <c r="C54" s="218" t="s">
        <v>55</v>
      </c>
      <c r="D54" s="239" t="s">
        <v>49</v>
      </c>
      <c r="E54" s="346"/>
      <c r="F54" s="296"/>
      <c r="G54" s="1269"/>
      <c r="H54" s="1270"/>
      <c r="I54" s="355" t="s">
        <v>475</v>
      </c>
      <c r="J54" s="269"/>
      <c r="K54" s="390">
        <f>IF(D54="Y",J54*E54,"")</f>
        <v>0</v>
      </c>
      <c r="L54" s="248" t="str">
        <f>IFERROR(IF(D54="Y",K54/$K$57,0%),"0.0%")</f>
        <v>0.0%</v>
      </c>
      <c r="M54" s="139" t="s">
        <v>56</v>
      </c>
      <c r="N54" s="233"/>
    </row>
    <row r="55" spans="1:14" ht="15.75" thickBot="1" x14ac:dyDescent="0.3">
      <c r="A55" s="293" t="s">
        <v>53</v>
      </c>
      <c r="B55" s="250" t="str">
        <f>A51</f>
        <v>Other Activity that may be applicable to this area</v>
      </c>
      <c r="C55" s="251"/>
      <c r="D55" s="252"/>
      <c r="E55" s="253"/>
      <c r="F55" s="252"/>
      <c r="G55" s="252"/>
      <c r="H55" s="252"/>
      <c r="I55" s="254"/>
      <c r="J55" s="255"/>
      <c r="K55" s="256">
        <f>SUM(K51:K54)</f>
        <v>0</v>
      </c>
      <c r="L55" s="252"/>
      <c r="M55" s="257"/>
      <c r="N55" s="233"/>
    </row>
    <row r="56" spans="1:14" x14ac:dyDescent="0.25">
      <c r="A56" s="260"/>
      <c r="B56" s="260"/>
      <c r="C56" s="261"/>
      <c r="D56" s="262"/>
      <c r="E56" s="263"/>
      <c r="F56" s="262"/>
      <c r="G56" s="262"/>
      <c r="H56" s="262"/>
      <c r="I56" s="264"/>
      <c r="J56" s="265"/>
      <c r="K56" s="266"/>
      <c r="L56" s="262"/>
      <c r="M56" s="261"/>
      <c r="N56" s="233"/>
    </row>
    <row r="57" spans="1:14" ht="21" x14ac:dyDescent="0.25">
      <c r="A57" s="260"/>
      <c r="B57" s="260"/>
      <c r="C57" s="261"/>
      <c r="D57" s="262"/>
      <c r="E57" s="263"/>
      <c r="F57" s="262"/>
      <c r="G57" s="262"/>
      <c r="H57" s="262"/>
      <c r="I57" s="233"/>
      <c r="J57" s="267" t="s">
        <v>154</v>
      </c>
      <c r="K57" s="268">
        <f>K55+K50+K38+K26+K23</f>
        <v>0</v>
      </c>
      <c r="L57" s="262"/>
      <c r="M57" s="261"/>
      <c r="N57" s="233"/>
    </row>
    <row r="58" spans="1:14" x14ac:dyDescent="0.25">
      <c r="A58" s="260"/>
      <c r="B58" s="260"/>
      <c r="C58" s="261"/>
      <c r="D58" s="262"/>
      <c r="E58" s="263"/>
      <c r="F58" s="262"/>
      <c r="G58" s="262"/>
      <c r="H58" s="262"/>
      <c r="I58" s="264"/>
      <c r="J58" s="265"/>
      <c r="K58" s="266"/>
      <c r="L58" s="262"/>
      <c r="M58" s="261"/>
      <c r="N58" s="233"/>
    </row>
    <row r="59" spans="1:14" x14ac:dyDescent="0.25">
      <c r="A59" s="260"/>
      <c r="B59" s="260"/>
      <c r="C59" s="261"/>
      <c r="D59" s="262"/>
      <c r="E59" s="263"/>
      <c r="F59" s="262"/>
      <c r="G59" s="262"/>
      <c r="H59" s="262"/>
      <c r="I59" s="264"/>
      <c r="J59" s="265"/>
      <c r="K59" s="266"/>
      <c r="L59" s="262"/>
      <c r="M59" s="261"/>
      <c r="N59" s="233"/>
    </row>
    <row r="60" spans="1:14" x14ac:dyDescent="0.25">
      <c r="A60" s="260"/>
      <c r="B60" s="260"/>
      <c r="C60" s="261"/>
      <c r="D60" s="262"/>
      <c r="E60" s="263"/>
      <c r="F60" s="262"/>
      <c r="G60" s="262"/>
      <c r="H60" s="262"/>
      <c r="I60" s="264"/>
      <c r="J60" s="265"/>
      <c r="K60" s="266"/>
      <c r="L60" s="262"/>
      <c r="M60" s="261"/>
      <c r="N60" s="233"/>
    </row>
    <row r="61" spans="1:14" x14ac:dyDescent="0.25">
      <c r="A61" s="260"/>
      <c r="B61" s="260"/>
      <c r="C61" s="261"/>
      <c r="D61" s="262"/>
      <c r="E61" s="263"/>
      <c r="F61" s="262"/>
      <c r="G61" s="262"/>
      <c r="H61" s="262"/>
      <c r="I61" s="264"/>
      <c r="J61" s="265"/>
      <c r="K61" s="266"/>
      <c r="L61" s="262"/>
      <c r="M61" s="261"/>
    </row>
    <row r="62" spans="1:14" x14ac:dyDescent="0.25">
      <c r="A62" s="3"/>
      <c r="B62" s="3"/>
      <c r="C62" s="30"/>
      <c r="D62" s="9"/>
      <c r="E62" s="31"/>
      <c r="F62" s="9"/>
      <c r="G62" s="9"/>
      <c r="H62" s="9"/>
      <c r="I62" s="32"/>
      <c r="J62" s="2"/>
      <c r="K62" s="77"/>
      <c r="L62" s="9"/>
      <c r="M62" s="30"/>
    </row>
    <row r="63" spans="1:14" x14ac:dyDescent="0.25">
      <c r="A63" s="3"/>
      <c r="B63" s="3"/>
      <c r="C63" s="30"/>
      <c r="D63" s="9"/>
      <c r="E63" s="31"/>
      <c r="F63" s="9"/>
      <c r="G63" s="9"/>
      <c r="H63" s="9"/>
      <c r="I63" s="32"/>
      <c r="J63" s="2"/>
      <c r="K63" s="77"/>
      <c r="L63" s="9"/>
      <c r="M63" s="30"/>
    </row>
    <row r="64" spans="1:14" x14ac:dyDescent="0.25">
      <c r="A64" s="3"/>
      <c r="B64" s="3"/>
      <c r="C64" s="30"/>
      <c r="D64" s="9"/>
      <c r="E64" s="31"/>
      <c r="F64" s="9"/>
      <c r="G64" s="9"/>
      <c r="H64" s="9"/>
      <c r="I64" s="32"/>
      <c r="J64" s="2"/>
      <c r="K64" s="77"/>
      <c r="L64" s="9"/>
      <c r="M64" s="30"/>
    </row>
    <row r="65" spans="1:13" x14ac:dyDescent="0.25">
      <c r="A65" s="3"/>
      <c r="B65" s="3"/>
      <c r="C65" s="30"/>
      <c r="D65" s="9"/>
      <c r="E65" s="31"/>
      <c r="F65" s="9"/>
      <c r="G65" s="9"/>
      <c r="H65" s="9"/>
      <c r="I65" s="32"/>
      <c r="J65" s="2"/>
      <c r="K65" s="77"/>
      <c r="L65" s="9"/>
      <c r="M65" s="30"/>
    </row>
    <row r="66" spans="1:13" x14ac:dyDescent="0.25">
      <c r="A66" s="3"/>
      <c r="B66" s="3"/>
      <c r="C66" s="30"/>
      <c r="D66" s="9"/>
      <c r="E66" s="31"/>
      <c r="F66" s="9"/>
      <c r="G66" s="9"/>
      <c r="H66" s="9"/>
      <c r="I66" s="32"/>
      <c r="J66" s="2"/>
      <c r="K66" s="77"/>
      <c r="L66" s="9"/>
      <c r="M66" s="30"/>
    </row>
    <row r="67" spans="1:13" x14ac:dyDescent="0.25">
      <c r="A67" s="3"/>
      <c r="B67" s="3"/>
      <c r="C67" s="30"/>
      <c r="D67" s="9"/>
      <c r="E67" s="31"/>
      <c r="F67" s="9"/>
      <c r="G67" s="9"/>
      <c r="H67" s="9"/>
      <c r="I67" s="32"/>
      <c r="J67" s="2"/>
      <c r="K67" s="77"/>
      <c r="L67" s="9"/>
      <c r="M67" s="30"/>
    </row>
    <row r="68" spans="1:13" x14ac:dyDescent="0.25">
      <c r="A68" s="3"/>
      <c r="B68" s="3"/>
      <c r="C68" s="30"/>
      <c r="D68" s="9"/>
      <c r="E68" s="31"/>
      <c r="F68" s="9"/>
      <c r="G68" s="9"/>
      <c r="H68" s="9"/>
      <c r="I68" s="32"/>
      <c r="J68" s="2"/>
      <c r="K68" s="77"/>
      <c r="L68" s="9"/>
      <c r="M68" s="30"/>
    </row>
    <row r="69" spans="1:13" x14ac:dyDescent="0.25">
      <c r="A69" s="3"/>
      <c r="B69" s="3"/>
      <c r="C69" s="30"/>
      <c r="D69" s="9"/>
      <c r="E69" s="9"/>
      <c r="F69" s="9"/>
      <c r="G69" s="9"/>
      <c r="H69" s="9"/>
      <c r="I69" s="32"/>
      <c r="J69" s="2"/>
      <c r="K69" s="77"/>
      <c r="L69" s="9"/>
      <c r="M69" s="30"/>
    </row>
    <row r="70" spans="1:13" x14ac:dyDescent="0.25">
      <c r="A70" s="3"/>
      <c r="B70" s="3"/>
      <c r="C70" s="30"/>
      <c r="D70" s="9"/>
      <c r="E70" s="9"/>
      <c r="F70" s="9"/>
      <c r="G70" s="9"/>
      <c r="H70" s="9"/>
      <c r="I70" s="32"/>
      <c r="J70" s="2"/>
      <c r="K70" s="77"/>
      <c r="L70" s="9"/>
      <c r="M70" s="30"/>
    </row>
    <row r="71" spans="1:13" x14ac:dyDescent="0.25">
      <c r="C71" s="30"/>
      <c r="D71" s="9"/>
      <c r="E71" s="9"/>
      <c r="F71" s="9"/>
      <c r="G71" s="9"/>
      <c r="H71" s="9"/>
      <c r="I71" s="32"/>
      <c r="J71" s="2"/>
      <c r="K71" s="9"/>
      <c r="L71" s="9"/>
      <c r="M71" s="30"/>
    </row>
    <row r="72" spans="1:13" x14ac:dyDescent="0.25">
      <c r="C72" s="30"/>
      <c r="D72" s="9"/>
      <c r="E72" s="9"/>
      <c r="F72" s="9"/>
      <c r="G72" s="9"/>
      <c r="H72" s="9"/>
      <c r="I72" s="32"/>
      <c r="J72" s="2"/>
      <c r="K72" s="9"/>
      <c r="L72" s="9"/>
      <c r="M72" s="30"/>
    </row>
    <row r="73" spans="1:13" x14ac:dyDescent="0.25">
      <c r="C73" s="30"/>
      <c r="D73" s="9"/>
      <c r="E73" s="9"/>
      <c r="F73" s="9"/>
      <c r="G73" s="9"/>
      <c r="H73" s="9"/>
      <c r="I73" s="9"/>
      <c r="J73" s="9"/>
      <c r="K73" s="9"/>
      <c r="L73" s="9"/>
      <c r="M73" s="30"/>
    </row>
    <row r="74" spans="1:13" x14ac:dyDescent="0.25">
      <c r="D74" s="9"/>
      <c r="E74" s="9"/>
      <c r="F74" s="9"/>
      <c r="G74" s="9"/>
      <c r="H74" s="9"/>
      <c r="I74" s="9"/>
      <c r="J74" s="9"/>
      <c r="K74" s="9"/>
      <c r="L74" s="9"/>
    </row>
    <row r="75" spans="1:13" x14ac:dyDescent="0.25">
      <c r="D75" s="9"/>
      <c r="E75" s="9"/>
      <c r="F75" s="9"/>
      <c r="G75" s="9"/>
      <c r="H75" s="9"/>
      <c r="I75" s="9"/>
      <c r="J75" s="9"/>
      <c r="K75" s="9"/>
      <c r="L75" s="9"/>
    </row>
    <row r="76" spans="1:13" x14ac:dyDescent="0.25">
      <c r="D76" s="9"/>
      <c r="E76" s="9"/>
      <c r="F76" s="9"/>
      <c r="G76" s="9"/>
      <c r="H76" s="9"/>
      <c r="I76" s="9"/>
      <c r="J76" s="9"/>
      <c r="K76" s="9"/>
      <c r="L76" s="9"/>
    </row>
    <row r="77" spans="1:13" x14ac:dyDescent="0.25">
      <c r="D77" s="9"/>
      <c r="E77" s="9"/>
      <c r="F77" s="9"/>
      <c r="G77" s="9"/>
      <c r="H77" s="9"/>
      <c r="I77" s="9"/>
      <c r="J77" s="9"/>
      <c r="K77" s="9"/>
      <c r="L77" s="9"/>
    </row>
    <row r="78" spans="1:13" x14ac:dyDescent="0.25">
      <c r="D78" s="9"/>
      <c r="E78" s="9"/>
      <c r="F78" s="9"/>
      <c r="G78" s="9"/>
      <c r="H78" s="9"/>
      <c r="I78" s="9"/>
      <c r="J78" s="9"/>
      <c r="K78" s="9"/>
      <c r="L78" s="9"/>
    </row>
    <row r="79" spans="1:13" x14ac:dyDescent="0.25">
      <c r="D79" s="9"/>
      <c r="E79" s="9"/>
      <c r="F79" s="9"/>
      <c r="G79" s="9"/>
      <c r="H79" s="9"/>
      <c r="I79" s="9"/>
      <c r="J79" s="9"/>
      <c r="K79" s="9"/>
      <c r="L79" s="9"/>
    </row>
    <row r="80" spans="1:13" x14ac:dyDescent="0.25">
      <c r="D80" s="9"/>
      <c r="E80" s="9"/>
      <c r="F80" s="9"/>
      <c r="G80" s="9"/>
      <c r="H80" s="9"/>
      <c r="I80" s="9"/>
      <c r="J80" s="9"/>
      <c r="K80" s="9"/>
      <c r="L80" s="9"/>
    </row>
    <row r="81" spans="4:12" x14ac:dyDescent="0.25">
      <c r="D81" s="9"/>
      <c r="E81" s="9"/>
      <c r="F81" s="9"/>
      <c r="G81" s="9"/>
      <c r="H81" s="9"/>
      <c r="I81" s="9"/>
      <c r="J81" s="9"/>
      <c r="K81" s="9"/>
      <c r="L81" s="9"/>
    </row>
    <row r="82" spans="4:12" x14ac:dyDescent="0.25">
      <c r="D82" s="9"/>
      <c r="E82" s="9"/>
      <c r="F82" s="9"/>
      <c r="G82" s="9"/>
      <c r="H82" s="9"/>
      <c r="I82" s="9"/>
      <c r="J82" s="9"/>
      <c r="K82" s="9"/>
      <c r="L82" s="9"/>
    </row>
    <row r="83" spans="4:12" x14ac:dyDescent="0.25">
      <c r="D83" s="9"/>
      <c r="E83" s="9"/>
      <c r="F83" s="9"/>
      <c r="G83" s="9"/>
      <c r="H83" s="9"/>
      <c r="I83" s="9"/>
      <c r="J83" s="9"/>
      <c r="K83" s="9"/>
      <c r="L83" s="9"/>
    </row>
    <row r="84" spans="4:12" x14ac:dyDescent="0.25">
      <c r="D84" s="9"/>
      <c r="E84" s="9"/>
      <c r="F84" s="9"/>
      <c r="G84" s="9"/>
      <c r="H84" s="9"/>
      <c r="I84" s="9"/>
      <c r="J84" s="9"/>
      <c r="K84" s="9"/>
      <c r="L84" s="9"/>
    </row>
    <row r="85" spans="4:12" x14ac:dyDescent="0.25">
      <c r="D85" s="9"/>
      <c r="E85" s="9"/>
      <c r="F85" s="9"/>
      <c r="G85" s="9"/>
      <c r="H85" s="9"/>
      <c r="I85" s="9"/>
      <c r="J85" s="9"/>
      <c r="K85" s="9"/>
      <c r="L85" s="9"/>
    </row>
  </sheetData>
  <sheetProtection algorithmName="SHA-512" hashValue="Tv2uqfeAOF1RVS1UTieAVNnSFW+/b1cvL0a42QjpNoOsrsaIvPH5pFgvkF2sOEFZTuThHNDUUxLqU314ne9miQ==" saltValue="BEeqqJKYsepVVPuBFbnN/g==" spinCount="100000" sheet="1" formatCells="0" formatRows="0" selectLockedCells="1"/>
  <mergeCells count="55">
    <mergeCell ref="R1:V1"/>
    <mergeCell ref="A27:A37"/>
    <mergeCell ref="G27:H27"/>
    <mergeCell ref="G28:H28"/>
    <mergeCell ref="G29:H29"/>
    <mergeCell ref="G32:H32"/>
    <mergeCell ref="G35:H35"/>
    <mergeCell ref="G33:H33"/>
    <mergeCell ref="G34:H34"/>
    <mergeCell ref="G36:H36"/>
    <mergeCell ref="G37:H37"/>
    <mergeCell ref="A14:B14"/>
    <mergeCell ref="C14:E14"/>
    <mergeCell ref="L20:M20"/>
    <mergeCell ref="G21:H21"/>
    <mergeCell ref="A24:A25"/>
    <mergeCell ref="A39:A49"/>
    <mergeCell ref="G40:H40"/>
    <mergeCell ref="G49:H49"/>
    <mergeCell ref="G46:H46"/>
    <mergeCell ref="G47:H47"/>
    <mergeCell ref="G48:H48"/>
    <mergeCell ref="G41:H41"/>
    <mergeCell ref="G42:H42"/>
    <mergeCell ref="G43:H43"/>
    <mergeCell ref="G44:H44"/>
    <mergeCell ref="G45:H45"/>
    <mergeCell ref="G51:H51"/>
    <mergeCell ref="A51:A54"/>
    <mergeCell ref="G52:H52"/>
    <mergeCell ref="G53:H53"/>
    <mergeCell ref="G54:H54"/>
    <mergeCell ref="A5:E6"/>
    <mergeCell ref="G5:J5"/>
    <mergeCell ref="G24:H24"/>
    <mergeCell ref="G25:H25"/>
    <mergeCell ref="G6:M7"/>
    <mergeCell ref="B10:E10"/>
    <mergeCell ref="B11:E11"/>
    <mergeCell ref="B12:E12"/>
    <mergeCell ref="B7:E7"/>
    <mergeCell ref="R8:V8"/>
    <mergeCell ref="B8:E8"/>
    <mergeCell ref="G8:M19"/>
    <mergeCell ref="B9:E9"/>
    <mergeCell ref="A15:B15"/>
    <mergeCell ref="C15:E15"/>
    <mergeCell ref="A16:E19"/>
    <mergeCell ref="R16:V16"/>
    <mergeCell ref="A1:B1"/>
    <mergeCell ref="C1:E1"/>
    <mergeCell ref="K1:L1"/>
    <mergeCell ref="C2:E2"/>
    <mergeCell ref="F1:J3"/>
    <mergeCell ref="C3:E3"/>
  </mergeCells>
  <dataValidations count="3">
    <dataValidation type="list" allowBlank="1" showInputMessage="1" showErrorMessage="1" sqref="H30:H31" xr:uid="{00000000-0002-0000-0A00-000000000000}">
      <formula1>$U$10:$U$14</formula1>
    </dataValidation>
    <dataValidation type="list" allowBlank="1" showInputMessage="1" showErrorMessage="1" sqref="H39" xr:uid="{00000000-0002-0000-0A00-000001000000}">
      <formula1>$U$18:$U$22</formula1>
    </dataValidation>
    <dataValidation type="list" allowBlank="1" showInputMessage="1" showErrorMessage="1" sqref="H22" xr:uid="{00000000-0002-0000-0A00-000002000000}">
      <formula1>$X$2:$X$6</formula1>
    </dataValidation>
  </dataValidations>
  <pageMargins left="0.70866141732283472" right="0.70866141732283472" top="0.74803149606299213" bottom="0.74803149606299213" header="0.31496062992125984" footer="0.31496062992125984"/>
  <pageSetup paperSize="9" scale="53" fitToHeight="3" orientation="landscape" r:id="rId1"/>
  <headerFooter>
    <oddHeader>&amp;LDepartment for Energy and Mining&amp;C&amp;"Arial"&amp;12&amp;KA80000 OFFICIAL&amp;1#_x000D_</oddHeader>
    <oddFooter>&amp;L&amp;Z
&amp;F&amp;C&amp;P&amp;R&amp;D</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Y81"/>
  <sheetViews>
    <sheetView showGridLines="0" zoomScale="90" zoomScaleNormal="90" workbookViewId="0">
      <selection activeCell="G8" sqref="G8:M19"/>
    </sheetView>
  </sheetViews>
  <sheetFormatPr defaultRowHeight="15" x14ac:dyDescent="0.25"/>
  <cols>
    <col min="1" max="1" width="19.85546875" customWidth="1"/>
    <col min="2" max="2" width="10.42578125" customWidth="1"/>
    <col min="3" max="3" width="37.7109375" customWidth="1"/>
    <col min="4" max="4" width="13.5703125" customWidth="1"/>
    <col min="5" max="5" width="11" customWidth="1"/>
    <col min="7" max="7" width="21.5703125" customWidth="1"/>
    <col min="8" max="8" width="15" customWidth="1"/>
    <col min="9" max="9" width="12.7109375" customWidth="1"/>
    <col min="10" max="10" width="12.140625" customWidth="1"/>
    <col min="11" max="11" width="14.42578125" customWidth="1"/>
    <col min="12" max="12" width="13.5703125" customWidth="1"/>
    <col min="13" max="13" width="50.42578125" customWidth="1"/>
    <col min="17" max="17" width="11.140625" bestFit="1" customWidth="1"/>
    <col min="18" max="18" width="12.42578125" customWidth="1"/>
    <col min="19" max="19" width="16.28515625" customWidth="1"/>
    <col min="20" max="22" width="12.42578125" customWidth="1"/>
    <col min="24" max="24" width="29.42578125" bestFit="1" customWidth="1"/>
    <col min="25" max="25" width="10.5703125" bestFit="1" customWidth="1"/>
  </cols>
  <sheetData>
    <row r="1" spans="1:25" ht="52.5" customHeight="1" x14ac:dyDescent="0.25">
      <c r="A1" s="1322" t="s">
        <v>492</v>
      </c>
      <c r="B1" s="1323"/>
      <c r="C1" s="1324" t="str">
        <f>'Summary Page'!E13</f>
        <v/>
      </c>
      <c r="D1" s="1325"/>
      <c r="E1" s="1326"/>
      <c r="F1" s="1360"/>
      <c r="G1" s="1285"/>
      <c r="H1" s="1285"/>
      <c r="I1" s="1285"/>
      <c r="J1" s="1286"/>
      <c r="K1" s="1295" t="s">
        <v>460</v>
      </c>
      <c r="L1" s="1295"/>
      <c r="M1" s="404" t="s">
        <v>843</v>
      </c>
      <c r="P1" s="525" t="str">
        <f>B30</f>
        <v>A1006</v>
      </c>
      <c r="Q1" s="526" t="s">
        <v>19</v>
      </c>
      <c r="R1" s="1273" t="s">
        <v>893</v>
      </c>
      <c r="S1" s="1274"/>
      <c r="T1" s="1274"/>
      <c r="U1" s="1274"/>
      <c r="V1" s="1275"/>
      <c r="X1" s="516" t="s">
        <v>74</v>
      </c>
      <c r="Y1" s="517" t="s">
        <v>608</v>
      </c>
    </row>
    <row r="2" spans="1:25" ht="21" x14ac:dyDescent="0.35">
      <c r="A2" s="368" t="s">
        <v>461</v>
      </c>
      <c r="B2" s="325">
        <v>4</v>
      </c>
      <c r="C2" s="1296" t="str">
        <f>'Summary Page'!E19</f>
        <v/>
      </c>
      <c r="D2" s="1297"/>
      <c r="E2" s="1348"/>
      <c r="F2" s="1287"/>
      <c r="G2" s="1288"/>
      <c r="H2" s="1288"/>
      <c r="I2" s="1288"/>
      <c r="J2" s="1289"/>
      <c r="K2" s="326"/>
      <c r="L2" s="327" t="s">
        <v>152</v>
      </c>
      <c r="M2" s="328">
        <f>K53</f>
        <v>0</v>
      </c>
      <c r="P2" s="297" t="s">
        <v>61</v>
      </c>
      <c r="Q2" s="371" t="s">
        <v>58</v>
      </c>
      <c r="R2" s="371" t="s">
        <v>59</v>
      </c>
      <c r="S2" s="371" t="s">
        <v>60</v>
      </c>
      <c r="T2" s="371" t="s">
        <v>53</v>
      </c>
      <c r="U2" s="372" t="s">
        <v>61</v>
      </c>
      <c r="V2" s="373" t="s">
        <v>53</v>
      </c>
      <c r="X2" s="41" t="s">
        <v>839</v>
      </c>
      <c r="Y2" s="466">
        <f>VLOOKUP(B22,Activities!A10:Q129,16,FALSE)</f>
        <v>27868.467286149284</v>
      </c>
    </row>
    <row r="3" spans="1:25" ht="21" x14ac:dyDescent="0.25">
      <c r="A3" s="329" t="s">
        <v>267</v>
      </c>
      <c r="B3" s="330">
        <f>'Version Control'!B50</f>
        <v>7</v>
      </c>
      <c r="C3" s="1356" t="s">
        <v>493</v>
      </c>
      <c r="D3" s="1357"/>
      <c r="E3" s="1358"/>
      <c r="F3" s="1290"/>
      <c r="G3" s="1291"/>
      <c r="H3" s="1291"/>
      <c r="I3" s="1291"/>
      <c r="J3" s="1292"/>
      <c r="K3" s="331"/>
      <c r="L3" s="332" t="s">
        <v>462</v>
      </c>
      <c r="M3" s="333">
        <f>'Summary Page'!J73</f>
        <v>0</v>
      </c>
      <c r="P3" s="374" t="s">
        <v>35</v>
      </c>
      <c r="Q3" s="357">
        <f>VLOOKUP(P1,Activities!$A$10:$Q$152,16,FALSE)</f>
        <v>1.1086505828514972</v>
      </c>
      <c r="R3" s="357">
        <f>VLOOKUP(Q1,Activities!$A$10:$Q$152,16,FALSE)</f>
        <v>1.1303836975020005</v>
      </c>
      <c r="S3" s="376">
        <v>1</v>
      </c>
      <c r="T3" s="375">
        <f>R3+Q3</f>
        <v>2.2390342803534979</v>
      </c>
      <c r="U3" s="235" t="s">
        <v>35</v>
      </c>
      <c r="V3" s="377">
        <f>T3</f>
        <v>2.2390342803534979</v>
      </c>
      <c r="X3" s="71" t="s">
        <v>840</v>
      </c>
      <c r="Y3" s="467">
        <f>Y2*2</f>
        <v>55736.934572298567</v>
      </c>
    </row>
    <row r="4" spans="1:25" ht="18.75" customHeight="1" x14ac:dyDescent="0.25">
      <c r="A4" s="334" t="s">
        <v>463</v>
      </c>
      <c r="B4" s="335">
        <f>'Version Control'!A50</f>
        <v>45531</v>
      </c>
      <c r="C4" s="233"/>
      <c r="D4" s="233"/>
      <c r="E4" s="233"/>
      <c r="F4" s="233"/>
      <c r="G4" s="233"/>
      <c r="H4" s="233"/>
      <c r="I4" s="233"/>
      <c r="J4" s="233"/>
      <c r="K4" s="294"/>
      <c r="L4" s="336" t="s">
        <v>464</v>
      </c>
      <c r="M4" s="337" t="e">
        <f>M2/M3</f>
        <v>#DIV/0!</v>
      </c>
      <c r="P4" s="374" t="s">
        <v>36</v>
      </c>
      <c r="Q4" s="375">
        <f>Q3</f>
        <v>1.1086505828514972</v>
      </c>
      <c r="R4" s="375">
        <f>R3*2</f>
        <v>2.260767395004001</v>
      </c>
      <c r="S4" s="376">
        <v>0.8</v>
      </c>
      <c r="T4" s="375">
        <f>Q4+(R4*S4)</f>
        <v>2.9172644988546983</v>
      </c>
      <c r="U4" s="235" t="s">
        <v>36</v>
      </c>
      <c r="V4" s="377">
        <f>T4</f>
        <v>2.9172644988546983</v>
      </c>
      <c r="X4" s="52" t="s">
        <v>613</v>
      </c>
      <c r="Y4" s="124"/>
    </row>
    <row r="5" spans="1:25" ht="19.5" customHeight="1" x14ac:dyDescent="0.25">
      <c r="A5" s="1349" t="s">
        <v>465</v>
      </c>
      <c r="B5" s="1298"/>
      <c r="C5" s="1298"/>
      <c r="D5" s="1298"/>
      <c r="E5" s="1299"/>
      <c r="F5" s="233"/>
      <c r="G5" s="1302" t="s">
        <v>466</v>
      </c>
      <c r="H5" s="1303"/>
      <c r="I5" s="1303"/>
      <c r="J5" s="1304"/>
      <c r="K5" s="233"/>
      <c r="L5" s="233"/>
      <c r="M5" s="233"/>
      <c r="P5" s="374" t="s">
        <v>37</v>
      </c>
      <c r="Q5" s="375">
        <f t="shared" ref="Q5:Q6" si="0">Q4</f>
        <v>1.1086505828514972</v>
      </c>
      <c r="R5" s="375">
        <f>R3*4</f>
        <v>4.5215347900080021</v>
      </c>
      <c r="S5" s="376">
        <v>0.7</v>
      </c>
      <c r="T5" s="375">
        <f>Q5+(R5*S5)</f>
        <v>4.2737249358570981</v>
      </c>
      <c r="U5" s="235" t="s">
        <v>37</v>
      </c>
      <c r="V5" s="377">
        <f>T5</f>
        <v>4.2737249358570981</v>
      </c>
    </row>
    <row r="6" spans="1:25" ht="19.5" customHeight="1" x14ac:dyDescent="0.25">
      <c r="A6" s="1350"/>
      <c r="B6" s="1351"/>
      <c r="C6" s="1351"/>
      <c r="D6" s="1351"/>
      <c r="E6" s="1352"/>
      <c r="F6" s="299"/>
      <c r="G6" s="1305" t="s">
        <v>484</v>
      </c>
      <c r="H6" s="1306"/>
      <c r="I6" s="1306"/>
      <c r="J6" s="1306"/>
      <c r="K6" s="1306"/>
      <c r="L6" s="1306"/>
      <c r="M6" s="1307"/>
      <c r="P6" s="374" t="s">
        <v>38</v>
      </c>
      <c r="Q6" s="375">
        <f t="shared" si="0"/>
        <v>1.1086505828514972</v>
      </c>
      <c r="R6" s="375">
        <f>R3*8</f>
        <v>9.0430695800160041</v>
      </c>
      <c r="S6" s="376">
        <v>0.6</v>
      </c>
      <c r="T6" s="375">
        <f>Q6+(R6*S6)</f>
        <v>6.5344923308610987</v>
      </c>
      <c r="U6" s="235" t="s">
        <v>244</v>
      </c>
      <c r="V6" s="377">
        <f>T6</f>
        <v>6.5344923308610987</v>
      </c>
    </row>
    <row r="7" spans="1:25" ht="15" customHeight="1" x14ac:dyDescent="0.25">
      <c r="A7" s="348">
        <v>1</v>
      </c>
      <c r="B7" s="1353" t="s">
        <v>498</v>
      </c>
      <c r="C7" s="1354"/>
      <c r="D7" s="1354"/>
      <c r="E7" s="1355"/>
      <c r="F7" s="339"/>
      <c r="G7" s="1308"/>
      <c r="H7" s="1309"/>
      <c r="I7" s="1309"/>
      <c r="J7" s="1309"/>
      <c r="K7" s="1309"/>
      <c r="L7" s="1309"/>
      <c r="M7" s="1310"/>
      <c r="P7" s="238"/>
      <c r="Q7" s="236"/>
      <c r="R7" s="236"/>
      <c r="S7" s="236"/>
      <c r="T7" s="236"/>
      <c r="U7" s="236" t="s">
        <v>264</v>
      </c>
      <c r="V7" s="237"/>
    </row>
    <row r="8" spans="1:25" ht="15" customHeight="1" x14ac:dyDescent="0.25">
      <c r="A8" s="297">
        <v>2</v>
      </c>
      <c r="B8" s="1340" t="s">
        <v>499</v>
      </c>
      <c r="C8" s="1341"/>
      <c r="D8" s="1341"/>
      <c r="E8" s="1342"/>
      <c r="F8" s="339"/>
      <c r="G8" s="1137"/>
      <c r="H8" s="1138"/>
      <c r="I8" s="1138"/>
      <c r="J8" s="1138"/>
      <c r="K8" s="1138"/>
      <c r="L8" s="1138"/>
      <c r="M8" s="1139"/>
      <c r="P8" s="233"/>
      <c r="Q8" s="233"/>
      <c r="R8" s="233"/>
      <c r="S8" s="233"/>
      <c r="T8" s="233"/>
      <c r="U8" s="233"/>
      <c r="V8" s="233"/>
    </row>
    <row r="9" spans="1:25" ht="15" customHeight="1" x14ac:dyDescent="0.25">
      <c r="A9" s="297">
        <v>3</v>
      </c>
      <c r="B9" s="1327" t="s">
        <v>494</v>
      </c>
      <c r="C9" s="1327"/>
      <c r="D9" s="1327"/>
      <c r="E9" s="1328"/>
      <c r="F9" s="339"/>
      <c r="G9" s="1140"/>
      <c r="H9" s="1329"/>
      <c r="I9" s="1329"/>
      <c r="J9" s="1329"/>
      <c r="K9" s="1329"/>
      <c r="L9" s="1329"/>
      <c r="M9" s="1142"/>
      <c r="P9" s="525" t="str">
        <f>B35</f>
        <v>A1013</v>
      </c>
      <c r="Q9" s="526" t="s">
        <v>19</v>
      </c>
      <c r="R9" s="1273" t="s">
        <v>72</v>
      </c>
      <c r="S9" s="1274"/>
      <c r="T9" s="1274"/>
      <c r="U9" s="1274"/>
      <c r="V9" s="1275"/>
    </row>
    <row r="10" spans="1:25" ht="15" customHeight="1" x14ac:dyDescent="0.25">
      <c r="A10" s="297">
        <v>4</v>
      </c>
      <c r="B10" s="1327" t="s">
        <v>500</v>
      </c>
      <c r="C10" s="1327"/>
      <c r="D10" s="1327"/>
      <c r="E10" s="1328"/>
      <c r="F10" s="339"/>
      <c r="G10" s="1140"/>
      <c r="H10" s="1329"/>
      <c r="I10" s="1329"/>
      <c r="J10" s="1329"/>
      <c r="K10" s="1329"/>
      <c r="L10" s="1329"/>
      <c r="M10" s="1142"/>
      <c r="P10" s="297" t="s">
        <v>61</v>
      </c>
      <c r="Q10" s="371" t="s">
        <v>58</v>
      </c>
      <c r="R10" s="371" t="s">
        <v>59</v>
      </c>
      <c r="S10" s="371" t="s">
        <v>60</v>
      </c>
      <c r="T10" s="371" t="s">
        <v>53</v>
      </c>
      <c r="U10" s="372" t="s">
        <v>61</v>
      </c>
      <c r="V10" s="373" t="s">
        <v>53</v>
      </c>
    </row>
    <row r="11" spans="1:25" x14ac:dyDescent="0.25">
      <c r="A11" s="297">
        <v>5</v>
      </c>
      <c r="B11" s="1330" t="s">
        <v>841</v>
      </c>
      <c r="C11" s="1331"/>
      <c r="D11" s="1331"/>
      <c r="E11" s="1332"/>
      <c r="F11" s="339"/>
      <c r="G11" s="1140"/>
      <c r="H11" s="1329"/>
      <c r="I11" s="1329"/>
      <c r="J11" s="1329"/>
      <c r="K11" s="1329"/>
      <c r="L11" s="1329"/>
      <c r="M11" s="1142"/>
      <c r="P11" s="374" t="s">
        <v>35</v>
      </c>
      <c r="Q11" s="357">
        <f>VLOOKUP(P9,Activities!$A$10:$Q$152,16,FALSE)</f>
        <v>1.4289323610931841</v>
      </c>
      <c r="R11" s="357">
        <f>VLOOKUP(Q9,Activities!$A$10:$Q$152,16,FALSE)</f>
        <v>1.1303836975020005</v>
      </c>
      <c r="S11" s="376">
        <v>1</v>
      </c>
      <c r="T11" s="375">
        <f>R11+Q11</f>
        <v>2.5593160585951846</v>
      </c>
      <c r="U11" s="235" t="s">
        <v>35</v>
      </c>
      <c r="V11" s="377">
        <f>T11</f>
        <v>2.5593160585951846</v>
      </c>
    </row>
    <row r="12" spans="1:25" ht="15" customHeight="1" x14ac:dyDescent="0.25">
      <c r="A12" s="305">
        <v>6</v>
      </c>
      <c r="B12" s="1346" t="s">
        <v>84</v>
      </c>
      <c r="C12" s="1346"/>
      <c r="D12" s="1346"/>
      <c r="E12" s="1347"/>
      <c r="F12" s="233"/>
      <c r="G12" s="1140"/>
      <c r="H12" s="1329"/>
      <c r="I12" s="1329"/>
      <c r="J12" s="1329"/>
      <c r="K12" s="1329"/>
      <c r="L12" s="1329"/>
      <c r="M12" s="1142"/>
      <c r="P12" s="374" t="s">
        <v>36</v>
      </c>
      <c r="Q12" s="375">
        <f>Q11</f>
        <v>1.4289323610931841</v>
      </c>
      <c r="R12" s="375">
        <f>R11*2</f>
        <v>2.260767395004001</v>
      </c>
      <c r="S12" s="376">
        <v>0.8</v>
      </c>
      <c r="T12" s="375">
        <f>Q12+(R12*S12)</f>
        <v>3.237546277096385</v>
      </c>
      <c r="U12" s="235" t="s">
        <v>36</v>
      </c>
      <c r="V12" s="377">
        <f>T12</f>
        <v>3.237546277096385</v>
      </c>
    </row>
    <row r="13" spans="1:25" ht="15" customHeight="1" x14ac:dyDescent="0.25">
      <c r="A13" s="340" t="s">
        <v>34</v>
      </c>
      <c r="B13" s="233"/>
      <c r="C13" s="233"/>
      <c r="D13" s="233"/>
      <c r="E13" s="233"/>
      <c r="F13" s="233"/>
      <c r="G13" s="1140"/>
      <c r="H13" s="1329"/>
      <c r="I13" s="1329"/>
      <c r="J13" s="1329"/>
      <c r="K13" s="1329"/>
      <c r="L13" s="1329"/>
      <c r="M13" s="1142"/>
      <c r="P13" s="374" t="s">
        <v>37</v>
      </c>
      <c r="Q13" s="375">
        <f t="shared" ref="Q13:Q14" si="1">Q12</f>
        <v>1.4289323610931841</v>
      </c>
      <c r="R13" s="375">
        <f>R11*4</f>
        <v>4.5215347900080021</v>
      </c>
      <c r="S13" s="376">
        <v>0.7</v>
      </c>
      <c r="T13" s="375">
        <f>Q13+(R13*S13)</f>
        <v>4.5940067140987857</v>
      </c>
      <c r="U13" s="235" t="s">
        <v>37</v>
      </c>
      <c r="V13" s="377">
        <f>T13</f>
        <v>4.5940067140987857</v>
      </c>
    </row>
    <row r="14" spans="1:25" ht="15" customHeight="1" x14ac:dyDescent="0.25">
      <c r="A14" s="1276"/>
      <c r="B14" s="1277"/>
      <c r="C14" s="1278" t="s">
        <v>352</v>
      </c>
      <c r="D14" s="1278"/>
      <c r="E14" s="1279"/>
      <c r="F14" s="233"/>
      <c r="G14" s="1140"/>
      <c r="H14" s="1329"/>
      <c r="I14" s="1329"/>
      <c r="J14" s="1329"/>
      <c r="K14" s="1329"/>
      <c r="L14" s="1329"/>
      <c r="M14" s="1142"/>
      <c r="P14" s="374" t="s">
        <v>38</v>
      </c>
      <c r="Q14" s="375">
        <f t="shared" si="1"/>
        <v>1.4289323610931841</v>
      </c>
      <c r="R14" s="375">
        <f>R11*8</f>
        <v>9.0430695800160041</v>
      </c>
      <c r="S14" s="376">
        <v>0.6</v>
      </c>
      <c r="T14" s="375">
        <f>Q14+(R14*S14)</f>
        <v>6.8547741091027863</v>
      </c>
      <c r="U14" s="235" t="s">
        <v>244</v>
      </c>
      <c r="V14" s="377">
        <f>T14</f>
        <v>6.8547741091027863</v>
      </c>
    </row>
    <row r="15" spans="1:25" ht="15" customHeight="1" x14ac:dyDescent="0.25">
      <c r="A15" s="1201"/>
      <c r="B15" s="1202"/>
      <c r="C15" s="1280" t="s">
        <v>467</v>
      </c>
      <c r="D15" s="1280"/>
      <c r="E15" s="1281"/>
      <c r="F15" s="233"/>
      <c r="G15" s="1140"/>
      <c r="H15" s="1329"/>
      <c r="I15" s="1329"/>
      <c r="J15" s="1329"/>
      <c r="K15" s="1329"/>
      <c r="L15" s="1329"/>
      <c r="M15" s="1142"/>
      <c r="P15" s="378"/>
      <c r="Q15" s="379"/>
      <c r="R15" s="379"/>
      <c r="S15" s="379"/>
      <c r="T15" s="379"/>
      <c r="U15" s="236" t="s">
        <v>264</v>
      </c>
      <c r="V15" s="380"/>
    </row>
    <row r="16" spans="1:25" ht="18.75" customHeight="1" x14ac:dyDescent="0.25">
      <c r="A16" s="1284" t="s">
        <v>825</v>
      </c>
      <c r="B16" s="1285"/>
      <c r="C16" s="1285"/>
      <c r="D16" s="1285"/>
      <c r="E16" s="1286"/>
      <c r="F16" s="233"/>
      <c r="G16" s="1140"/>
      <c r="H16" s="1329"/>
      <c r="I16" s="1329"/>
      <c r="J16" s="1329"/>
      <c r="K16" s="1329"/>
      <c r="L16" s="1329"/>
      <c r="M16" s="1142"/>
      <c r="Q16" s="4"/>
      <c r="R16" s="4"/>
      <c r="S16" s="532"/>
      <c r="T16" s="4"/>
      <c r="V16" s="4"/>
    </row>
    <row r="17" spans="1:25" ht="15" customHeight="1" x14ac:dyDescent="0.3">
      <c r="A17" s="1287"/>
      <c r="B17" s="1288"/>
      <c r="C17" s="1288"/>
      <c r="D17" s="1288"/>
      <c r="E17" s="1289"/>
      <c r="F17" s="233"/>
      <c r="G17" s="1140"/>
      <c r="H17" s="1329"/>
      <c r="I17" s="1329"/>
      <c r="J17" s="1329"/>
      <c r="K17" s="1329"/>
      <c r="L17" s="1329"/>
      <c r="M17" s="1142"/>
      <c r="P17" s="6"/>
    </row>
    <row r="18" spans="1:25" ht="15" customHeight="1" x14ac:dyDescent="0.25">
      <c r="A18" s="1287"/>
      <c r="B18" s="1288"/>
      <c r="C18" s="1288"/>
      <c r="D18" s="1288"/>
      <c r="E18" s="1289"/>
      <c r="F18" s="233"/>
      <c r="G18" s="1140"/>
      <c r="H18" s="1329"/>
      <c r="I18" s="1329"/>
      <c r="J18" s="1329"/>
      <c r="K18" s="1329"/>
      <c r="L18" s="1329"/>
      <c r="M18" s="1142"/>
      <c r="X18" s="1"/>
      <c r="Y18" s="1"/>
    </row>
    <row r="19" spans="1:25" ht="15" customHeight="1" x14ac:dyDescent="0.25">
      <c r="A19" s="1290"/>
      <c r="B19" s="1291"/>
      <c r="C19" s="1291"/>
      <c r="D19" s="1291"/>
      <c r="E19" s="1292"/>
      <c r="F19" s="233"/>
      <c r="G19" s="1143"/>
      <c r="H19" s="1144"/>
      <c r="I19" s="1144"/>
      <c r="J19" s="1144"/>
      <c r="K19" s="1144"/>
      <c r="L19" s="1144"/>
      <c r="M19" s="1145"/>
      <c r="Q19" s="4"/>
      <c r="R19" s="4"/>
      <c r="S19" s="36"/>
      <c r="T19" s="4"/>
      <c r="V19" s="4"/>
    </row>
    <row r="20" spans="1:25" s="1" customFormat="1" ht="20.25" customHeight="1" x14ac:dyDescent="0.25">
      <c r="A20" s="233"/>
      <c r="B20" s="233"/>
      <c r="C20" s="233"/>
      <c r="D20" s="366"/>
      <c r="E20" s="233"/>
      <c r="F20" s="233"/>
      <c r="G20" s="233"/>
      <c r="H20" s="233"/>
      <c r="I20" s="233"/>
      <c r="J20" s="219"/>
      <c r="K20" s="367"/>
      <c r="L20" s="1291"/>
      <c r="M20" s="1292"/>
      <c r="P20"/>
      <c r="Q20" s="4"/>
      <c r="R20" s="4"/>
      <c r="S20" s="36"/>
      <c r="T20" s="4"/>
      <c r="U20"/>
      <c r="V20" s="4"/>
      <c r="W20"/>
      <c r="X20"/>
      <c r="Y20"/>
    </row>
    <row r="21" spans="1:25" ht="60.75" customHeight="1" thickBot="1" x14ac:dyDescent="0.3">
      <c r="A21" s="119" t="s">
        <v>39</v>
      </c>
      <c r="B21" s="120" t="s">
        <v>40</v>
      </c>
      <c r="C21" s="120" t="s">
        <v>479</v>
      </c>
      <c r="D21" s="311" t="s">
        <v>272</v>
      </c>
      <c r="E21" s="311" t="s">
        <v>43</v>
      </c>
      <c r="F21" s="120" t="s">
        <v>273</v>
      </c>
      <c r="G21" s="1212" t="s">
        <v>416</v>
      </c>
      <c r="H21" s="1212"/>
      <c r="I21" s="120" t="s">
        <v>45</v>
      </c>
      <c r="J21" s="312" t="s">
        <v>271</v>
      </c>
      <c r="K21" s="120" t="s">
        <v>47</v>
      </c>
      <c r="L21" s="120" t="s">
        <v>270</v>
      </c>
      <c r="M21" s="317" t="s">
        <v>415</v>
      </c>
    </row>
    <row r="22" spans="1:25" ht="45.75" customHeight="1" thickBot="1" x14ac:dyDescent="0.35">
      <c r="A22" s="343" t="s">
        <v>76</v>
      </c>
      <c r="B22" s="245" t="s">
        <v>608</v>
      </c>
      <c r="C22" s="259" t="str">
        <f>VLOOKUP($B22,Activities!$A$10:$P$152,3,FALSE)</f>
        <v>Design/Quantify/Survey Rehabilitation Structures to Specification Standard</v>
      </c>
      <c r="D22" s="239" t="s">
        <v>49</v>
      </c>
      <c r="E22" s="240"/>
      <c r="F22" s="246" t="s">
        <v>50</v>
      </c>
      <c r="G22" s="313" t="s">
        <v>838</v>
      </c>
      <c r="H22" s="140" t="s">
        <v>613</v>
      </c>
      <c r="I22" s="273">
        <f>VLOOKUP(H22,X2:Y4,2,FALSE)</f>
        <v>0</v>
      </c>
      <c r="J22" s="269"/>
      <c r="K22" s="390">
        <f t="shared" ref="K22" si="2">IF(D22="Y",IF(J22="",I22*E22,J22*E22),"")</f>
        <v>0</v>
      </c>
      <c r="L22" s="248" t="str">
        <f>IFERROR(IF(D22="Y",K22/$K$63,0%),"0.0%")</f>
        <v>0.0%</v>
      </c>
      <c r="M22" s="290" t="str">
        <f>VLOOKUP($B22,Activities!$A$10:$S$152,19,FALSE)</f>
        <v>This item covers the cost of a third party called in to determine the extent of work required and to assess the methodology to complete the work and any other design or planning activities required.</v>
      </c>
      <c r="P22" s="6"/>
    </row>
    <row r="23" spans="1:25" ht="16.5" thickBot="1" x14ac:dyDescent="0.3">
      <c r="A23" s="21" t="s">
        <v>53</v>
      </c>
      <c r="B23" s="112" t="str">
        <f>A22</f>
        <v>Preliminaries</v>
      </c>
      <c r="C23" s="113"/>
      <c r="D23" s="24"/>
      <c r="E23" s="25"/>
      <c r="F23" s="24"/>
      <c r="G23" s="24"/>
      <c r="H23" s="24"/>
      <c r="I23" s="26"/>
      <c r="J23" s="27"/>
      <c r="K23" s="28">
        <f>SUM(K22:K22)</f>
        <v>0</v>
      </c>
      <c r="L23" s="24"/>
      <c r="M23" s="29"/>
      <c r="Q23" s="4"/>
      <c r="R23" s="4"/>
      <c r="S23" s="36"/>
      <c r="T23" s="4"/>
      <c r="V23" s="4"/>
    </row>
    <row r="24" spans="1:25" ht="54" customHeight="1" thickBot="1" x14ac:dyDescent="0.3">
      <c r="A24" s="1362" t="s">
        <v>495</v>
      </c>
      <c r="B24" s="37"/>
      <c r="C24" s="295" t="s">
        <v>300</v>
      </c>
      <c r="D24" s="239" t="s">
        <v>49</v>
      </c>
      <c r="E24" s="607"/>
      <c r="F24" s="296"/>
      <c r="G24" s="1269"/>
      <c r="H24" s="1270"/>
      <c r="I24" s="355" t="s">
        <v>475</v>
      </c>
      <c r="J24" s="269"/>
      <c r="K24" s="387">
        <f>IF(D24="Y",J24*E24,"")</f>
        <v>0</v>
      </c>
      <c r="L24" s="145" t="str">
        <f>IFERROR(IF(D24="Y",K24/$K$53,0%),"0.0%")</f>
        <v>0.0%</v>
      </c>
      <c r="M24" s="139" t="s">
        <v>56</v>
      </c>
      <c r="Q24" s="4"/>
      <c r="R24" s="4"/>
      <c r="S24" s="36"/>
      <c r="T24" s="4"/>
      <c r="V24" s="4"/>
      <c r="W24" s="1"/>
    </row>
    <row r="25" spans="1:25" ht="61.5" customHeight="1" thickBot="1" x14ac:dyDescent="0.3">
      <c r="A25" s="1363"/>
      <c r="B25" s="37"/>
      <c r="C25" s="295" t="s">
        <v>300</v>
      </c>
      <c r="D25" s="239" t="s">
        <v>49</v>
      </c>
      <c r="E25" s="607"/>
      <c r="F25" s="296"/>
      <c r="G25" s="1269"/>
      <c r="H25" s="1270"/>
      <c r="I25" s="355" t="s">
        <v>475</v>
      </c>
      <c r="J25" s="269"/>
      <c r="K25" s="387">
        <f>IF(D25="Y",J25*E25,"")</f>
        <v>0</v>
      </c>
      <c r="L25" s="145" t="str">
        <f>IFERROR(IF(D25="Y",K25/$K$53,0%),"0.0%")</f>
        <v>0.0%</v>
      </c>
      <c r="M25" s="139" t="s">
        <v>56</v>
      </c>
      <c r="Q25" s="4"/>
      <c r="R25" s="4"/>
      <c r="S25" s="36"/>
      <c r="T25" s="4"/>
      <c r="V25" s="4"/>
    </row>
    <row r="26" spans="1:25" ht="20.25" customHeight="1" thickBot="1" x14ac:dyDescent="0.3">
      <c r="A26" s="21" t="s">
        <v>53</v>
      </c>
      <c r="B26" s="112" t="str">
        <f>A24</f>
        <v>Special Treatments for Waste Rock Dump</v>
      </c>
      <c r="C26" s="23"/>
      <c r="D26" s="24"/>
      <c r="E26" s="25"/>
      <c r="F26" s="24"/>
      <c r="G26" s="24"/>
      <c r="H26" s="24"/>
      <c r="I26" s="26"/>
      <c r="J26" s="27"/>
      <c r="K26" s="28">
        <f>SUM(K24:K25)</f>
        <v>0</v>
      </c>
      <c r="L26" s="24"/>
      <c r="M26" s="29"/>
      <c r="Q26" s="4"/>
      <c r="R26" s="4"/>
      <c r="S26" s="36"/>
      <c r="T26" s="4"/>
      <c r="V26" s="4"/>
    </row>
    <row r="27" spans="1:25" ht="48.75" customHeight="1" thickBot="1" x14ac:dyDescent="0.3">
      <c r="A27" s="1132" t="s">
        <v>77</v>
      </c>
      <c r="B27" s="86" t="s">
        <v>78</v>
      </c>
      <c r="C27" s="259" t="str">
        <f>VLOOKUP($B27,Activities!$A$10:$P$152,3,FALSE)</f>
        <v xml:space="preserve">Consolidation of loose Stockpiles of Waste and/or Ore </v>
      </c>
      <c r="D27" s="239" t="s">
        <v>49</v>
      </c>
      <c r="E27" s="240"/>
      <c r="F27" s="246" t="str">
        <f>VLOOKUP($B27,Activities!$A$10:$P$152,4,FALSE)</f>
        <v>m3</v>
      </c>
      <c r="G27" s="1269"/>
      <c r="H27" s="1270"/>
      <c r="I27" s="272">
        <f>VLOOKUP($B27,Activities!$A$10:$S$152,16,FALSE)</f>
        <v>3.7418180963331782</v>
      </c>
      <c r="J27" s="269"/>
      <c r="K27" s="388">
        <f t="shared" ref="K27:K30" si="3">IF(D27="Y",IF(J27="",I27*E27,J27*E27),0)</f>
        <v>0</v>
      </c>
      <c r="L27" s="248" t="str">
        <f>IFERROR(IF(D27="Y",K27/$K$64,0%),"0.0%")</f>
        <v>0.0%</v>
      </c>
      <c r="M27" s="290" t="str">
        <f>VLOOKUP($B27,Activities!$A$10:$S$152,19,FALSE)</f>
        <v>This activity covers the removal of small stockpiles of waste rock, ROM ore and other stockpiles.  These are consolidated into one waste dump for rehabilitation.</v>
      </c>
    </row>
    <row r="28" spans="1:25" ht="59.25" customHeight="1" thickBot="1" x14ac:dyDescent="0.3">
      <c r="A28" s="1133"/>
      <c r="B28" s="86" t="s">
        <v>79</v>
      </c>
      <c r="C28" s="259" t="str">
        <f>VLOOKUP($B28,Activities!$A$10:$P$152,3,FALSE)</f>
        <v>Minor Shaping across a Dump or Disturbed Area</v>
      </c>
      <c r="D28" s="239" t="s">
        <v>49</v>
      </c>
      <c r="E28" s="240"/>
      <c r="F28" s="246" t="str">
        <f>VLOOKUP($B28,Activities!$A$10:$P$152,4,FALSE)</f>
        <v>Ha</v>
      </c>
      <c r="G28" s="1269"/>
      <c r="H28" s="1270"/>
      <c r="I28" s="272">
        <f>VLOOKUP($B28,Activities!$A$10:$S$152,16,FALSE)</f>
        <v>2987.2221197728068</v>
      </c>
      <c r="J28" s="269"/>
      <c r="K28" s="388">
        <f t="shared" si="3"/>
        <v>0</v>
      </c>
      <c r="L28" s="248" t="str">
        <f>IFERROR(IF(D28="Y",K28/$K$64,0%),"0.0%")</f>
        <v>0.0%</v>
      </c>
      <c r="M28" s="290" t="str">
        <f>VLOOKUP($B28,Activities!$A$10:$S$152,19,FALSE)</f>
        <v xml:space="preserve">This activity covers minor shaping shifting pushing across a dump or disturbed area.  It is based on a rate per hectare.  It covers area where there needs to be some clearing work, tidying up of disturbed ground,  but not just bulk pushing </v>
      </c>
    </row>
    <row r="29" spans="1:25" ht="63.75" customHeight="1" thickBot="1" x14ac:dyDescent="0.3">
      <c r="A29" s="1133"/>
      <c r="B29" s="102" t="s">
        <v>13</v>
      </c>
      <c r="C29" s="259" t="str">
        <f>VLOOKUP($B29,Activities!$A$10:$P$152,3,FALSE)</f>
        <v>Major Bulk Pushing/Dozing to achieve Final Land Forms</v>
      </c>
      <c r="D29" s="239" t="s">
        <v>49</v>
      </c>
      <c r="E29" s="240"/>
      <c r="F29" s="246" t="str">
        <f>VLOOKUP($B29,Activities!$A$10:$P$152,4,FALSE)</f>
        <v>m3</v>
      </c>
      <c r="G29" s="1269"/>
      <c r="H29" s="1270"/>
      <c r="I29" s="272">
        <f>VLOOKUP($B29,Activities!$A$10:$S$152,16,FALSE)</f>
        <v>0.96390609627070267</v>
      </c>
      <c r="J29" s="269"/>
      <c r="K29" s="388">
        <f t="shared" si="3"/>
        <v>0</v>
      </c>
      <c r="L29" s="248" t="str">
        <f>IFERROR(IF(D29="Y",K29/$K$64,0%),"0.0%")</f>
        <v>0.0%</v>
      </c>
      <c r="M29" s="290" t="str">
        <f>VLOOKUP($B29,Activities!$A$10:$S$152,19,FALSE)</f>
        <v>This unit cost covers the use of a dozer to push material within reasonable confines to achieve a Final Land Form.  It is often undertaken prior to covering a tailing storage facility</v>
      </c>
      <c r="O29" s="47"/>
    </row>
    <row r="30" spans="1:25" ht="56.25" customHeight="1" thickBot="1" x14ac:dyDescent="0.3">
      <c r="A30" s="1133"/>
      <c r="B30" s="102" t="s">
        <v>17</v>
      </c>
      <c r="C30" s="259" t="str">
        <f>VLOOKUP($B30,Activities!$A$10:$P$152,3,FALSE)</f>
        <v xml:space="preserve">Excavation of earthen materials from local borrow pits, plus haulage </v>
      </c>
      <c r="D30" s="239" t="s">
        <v>49</v>
      </c>
      <c r="E30" s="242"/>
      <c r="F30" s="19" t="s">
        <v>15</v>
      </c>
      <c r="G30" s="313" t="s">
        <v>51</v>
      </c>
      <c r="H30" s="167" t="s">
        <v>264</v>
      </c>
      <c r="I30" s="350">
        <f>VLOOKUP(H30,U3:V7,2)</f>
        <v>0</v>
      </c>
      <c r="J30" s="269"/>
      <c r="K30" s="388">
        <f t="shared" si="3"/>
        <v>0</v>
      </c>
      <c r="L30" s="145" t="str">
        <f>IFERROR(IF(D30="Y",K30/$K$53,0%),"0.0%")</f>
        <v>0.0%</v>
      </c>
      <c r="M30" s="290" t="str">
        <f>VLOOKUP($B30,Activities!$A$10:$S$152,19,FALSE)</f>
        <v>This activity involves the excavation of earthern material from a local borrow pit and the loading of that material into a truck.  Haulage cost based on distance hauled.</v>
      </c>
      <c r="O30" s="47"/>
      <c r="P30" s="47"/>
      <c r="Q30" s="47"/>
      <c r="R30" s="47"/>
      <c r="S30" s="47"/>
    </row>
    <row r="31" spans="1:25" ht="53.25" customHeight="1" thickBot="1" x14ac:dyDescent="0.3">
      <c r="A31" s="1133"/>
      <c r="B31" s="102" t="s">
        <v>18</v>
      </c>
      <c r="C31" s="259" t="str">
        <f>VLOOKUP($B31,Activities!$A$10:$P$152,3,FALSE)</f>
        <v>Spreading Materials on ground or an open area excluding compaction (&gt;1,000m3)</v>
      </c>
      <c r="D31" s="239" t="s">
        <v>49</v>
      </c>
      <c r="E31" s="240"/>
      <c r="F31" s="246" t="str">
        <f>VLOOKUP($B31,Activities!$A$10:$P$152,4,FALSE)</f>
        <v>m3</v>
      </c>
      <c r="G31" s="1269"/>
      <c r="H31" s="1270"/>
      <c r="I31" s="272">
        <f>VLOOKUP($B31,Activities!$A$10:$S$152,16,FALSE)</f>
        <v>1.0890037105820705</v>
      </c>
      <c r="J31" s="269"/>
      <c r="K31" s="388">
        <f t="shared" ref="K31:K33" si="4">IF(D31="Y",IF(J31="",I31*E31,J31*E31),0)</f>
        <v>0</v>
      </c>
      <c r="L31" s="248" t="str">
        <f>IFERROR(IF(D31="Y",K31/$K$64,0%),"0.0%")</f>
        <v>0.0%</v>
      </c>
      <c r="M31" s="290" t="str">
        <f>VLOOKUP($B31,Activities!$A$10:$S$152,19,FALSE)</f>
        <v xml:space="preserve">This activity involves the spreading of material that has been transported and dumped at the work area. </v>
      </c>
      <c r="P31" s="47"/>
      <c r="Q31" s="47"/>
      <c r="R31" s="47"/>
      <c r="S31" s="47"/>
    </row>
    <row r="32" spans="1:25" ht="61.5" customHeight="1" thickBot="1" x14ac:dyDescent="0.3">
      <c r="A32" s="1133"/>
      <c r="B32" s="86" t="s">
        <v>80</v>
      </c>
      <c r="C32" s="259" t="str">
        <f>VLOOKUP($B32,Activities!$A$10:$P$152,3,FALSE)</f>
        <v>Construction of Water Run-off Management Structures and/or Dams</v>
      </c>
      <c r="D32" s="239" t="s">
        <v>49</v>
      </c>
      <c r="E32" s="240"/>
      <c r="F32" s="246" t="str">
        <f>VLOOKUP($B32,Activities!$A$10:$P$152,4,FALSE)</f>
        <v>Ha</v>
      </c>
      <c r="G32" s="1269"/>
      <c r="H32" s="1270"/>
      <c r="I32" s="272">
        <f>VLOOKUP($B32,Activities!$A$10:$S$152,16,FALSE)</f>
        <v>7806.9613461745139</v>
      </c>
      <c r="J32" s="269"/>
      <c r="K32" s="388">
        <f t="shared" si="4"/>
        <v>0</v>
      </c>
      <c r="L32" s="248" t="str">
        <f>IFERROR(IF(D32="Y",K32/$K$64,0%),"0.0%")</f>
        <v>0.0%</v>
      </c>
      <c r="M32" s="290" t="str">
        <f>VLOOKUP($B32,Activities!$A$10:$S$152,19,FALSE)</f>
        <v>This activity is a general activity and it involves shaping of critical areas, the construction of minor water management drains, rock lining of the drains, dams and diversion channels to manage water run-off from the area. It is based on a rate per hectare (based only on the hectares associated with the run-off management) and includes channel excavation, rock lining and minor dam construction.  (Operator may prefer to better define this activity)</v>
      </c>
    </row>
    <row r="33" spans="1:13" ht="51.75" customHeight="1" thickBot="1" x14ac:dyDescent="0.3">
      <c r="A33" s="1133"/>
      <c r="B33" s="86" t="s">
        <v>81</v>
      </c>
      <c r="C33" s="259" t="str">
        <f>VLOOKUP($B33,Activities!$A$10:$P$152,3,FALSE)</f>
        <v>Construction of Berm or Barrier to prevent Access</v>
      </c>
      <c r="D33" s="239" t="s">
        <v>49</v>
      </c>
      <c r="E33" s="240"/>
      <c r="F33" s="246" t="str">
        <f>VLOOKUP($B33,Activities!$A$10:$P$152,4,FALSE)</f>
        <v>Lin m</v>
      </c>
      <c r="G33" s="1269"/>
      <c r="H33" s="1270"/>
      <c r="I33" s="272">
        <f>VLOOKUP($B33,Activities!$A$10:$S$152,16,FALSE)</f>
        <v>56.743935369018423</v>
      </c>
      <c r="J33" s="269"/>
      <c r="K33" s="388">
        <f t="shared" si="4"/>
        <v>0</v>
      </c>
      <c r="L33" s="248" t="str">
        <f>IFERROR(IF(D33="Y",K33/$K$64,0%),"0.0%")</f>
        <v>0.0%</v>
      </c>
      <c r="M33" s="290" t="str">
        <f>VLOOKUP($B33,Activities!$A$10:$S$152,19,FALSE)</f>
        <v>The activity covers the construction of a Berm or Barrier to prevent access.  The Barrier is designed to prevent vehicular access and is a significant size to do this.</v>
      </c>
    </row>
    <row r="34" spans="1:13" ht="22.5" customHeight="1" thickBot="1" x14ac:dyDescent="0.3">
      <c r="A34" s="21" t="s">
        <v>53</v>
      </c>
      <c r="B34" s="112" t="str">
        <f>A27</f>
        <v>Primary Earthworks and Shaping of the Dump</v>
      </c>
      <c r="C34" s="23"/>
      <c r="D34" s="24"/>
      <c r="E34" s="25"/>
      <c r="F34" s="24"/>
      <c r="G34" s="24"/>
      <c r="H34" s="24"/>
      <c r="I34" s="26"/>
      <c r="J34" s="27"/>
      <c r="K34" s="28">
        <f>SUM(K27:K33)</f>
        <v>0</v>
      </c>
      <c r="L34" s="24"/>
      <c r="M34" s="29"/>
    </row>
    <row r="35" spans="1:13" ht="42.75" thickBot="1" x14ac:dyDescent="0.3">
      <c r="A35" s="1132" t="s">
        <v>496</v>
      </c>
      <c r="B35" s="102" t="s">
        <v>70</v>
      </c>
      <c r="C35" s="259" t="str">
        <f>VLOOKUP($B35,Activities!$A$10:$P$152,3,FALSE)</f>
        <v>Sourcing, Carting and Spreading of Topsoil over an Area</v>
      </c>
      <c r="D35" s="239" t="s">
        <v>49</v>
      </c>
      <c r="E35" s="346"/>
      <c r="F35" s="19" t="s">
        <v>15</v>
      </c>
      <c r="G35" s="313" t="s">
        <v>51</v>
      </c>
      <c r="H35" s="167" t="s">
        <v>264</v>
      </c>
      <c r="I35" s="350">
        <f>VLOOKUP(H35,U11:V15,2)</f>
        <v>0</v>
      </c>
      <c r="J35" s="269"/>
      <c r="K35" s="387">
        <f>IF(D35="Y",IF(J35="",I35*E35,J35*E35),"")</f>
        <v>0</v>
      </c>
      <c r="L35" s="145" t="str">
        <f>IFERROR(IF(D35="Y",K35/$K$53,0%),"0.0%")</f>
        <v>0.0%</v>
      </c>
      <c r="M35" s="290" t="str">
        <f>VLOOKUP($B35,Activities!$A$10:$S$152,19,FALSE)</f>
        <v>This activity covers the sourcing of topsoil or suitable growth medium, transporting from the source to the required area and then spreading it over that area.</v>
      </c>
    </row>
    <row r="36" spans="1:13" ht="55.5" customHeight="1" thickBot="1" x14ac:dyDescent="0.3">
      <c r="A36" s="1133"/>
      <c r="B36" s="102" t="s">
        <v>21</v>
      </c>
      <c r="C36" s="259" t="str">
        <f>VLOOKUP($B36,Activities!$A$10:$P$152,3,FALSE)</f>
        <v>Scarification to promote vegetation growth</v>
      </c>
      <c r="D36" s="239" t="s">
        <v>49</v>
      </c>
      <c r="E36" s="240"/>
      <c r="F36" s="246" t="str">
        <f>VLOOKUP($B36,Activities!$A$10:$P$152,4,FALSE)</f>
        <v>Ha</v>
      </c>
      <c r="G36" s="1269"/>
      <c r="H36" s="1270"/>
      <c r="I36" s="272">
        <f>VLOOKUP($B36,Activities!$A$10:$S$152,16,FALSE)</f>
        <v>323.54530924221694</v>
      </c>
      <c r="J36" s="269"/>
      <c r="K36" s="388">
        <f t="shared" ref="K36:K46" si="5">IF(D36="Y",IF(J36="",I36*E36,J36*E36),0)</f>
        <v>0</v>
      </c>
      <c r="L36" s="248" t="str">
        <f>IFERROR(IF(D36="Y",K36/$K$64,0%),"0.0%")</f>
        <v>0.0%</v>
      </c>
      <c r="M36" s="290" t="str">
        <f>VLOOKUP($B36,Activities!$A$10:$S$152,19,FALSE)</f>
        <v xml:space="preserve">This activity is undertaken in preparation for the seeding of a particular area.  </v>
      </c>
    </row>
    <row r="37" spans="1:13" ht="42.75" customHeight="1" thickBot="1" x14ac:dyDescent="0.3">
      <c r="A37" s="1133"/>
      <c r="B37" s="245" t="s">
        <v>626</v>
      </c>
      <c r="C37" s="259" t="str">
        <f>VLOOKUP($B37,Activities!$A$10:$P$152,3,FALSE)</f>
        <v>Purchase and single application of ground ameliorants (e.g. gypsum)</v>
      </c>
      <c r="D37" s="239" t="s">
        <v>49</v>
      </c>
      <c r="E37" s="320"/>
      <c r="F37" s="246" t="str">
        <f>VLOOKUP($B37,Activities!$A$10:$P$152,4,FALSE)</f>
        <v>Ha</v>
      </c>
      <c r="G37" s="1269"/>
      <c r="H37" s="1270"/>
      <c r="I37" s="273">
        <f>VLOOKUP($B37,Activities!$A$10:$S$152,16,FALSE)</f>
        <v>877.38983538153695</v>
      </c>
      <c r="J37" s="269"/>
      <c r="K37" s="388">
        <f t="shared" si="5"/>
        <v>0</v>
      </c>
      <c r="L37" s="248" t="str">
        <f t="shared" ref="L37:L45" si="6">IFERROR(IF(D37="Y",K37/$K$55,0%),"0.0%")</f>
        <v>0.0%</v>
      </c>
      <c r="M37" s="290" t="str">
        <f>VLOOKUP($B37,Activities!$A$10:$S$152,19,FALSE)</f>
        <v>This Activity includes the purchase and single application of ground ameliorants (e.g. gypsum).</v>
      </c>
    </row>
    <row r="38" spans="1:13" ht="42.75" customHeight="1" thickBot="1" x14ac:dyDescent="0.3">
      <c r="A38" s="1133"/>
      <c r="B38" s="245" t="s">
        <v>627</v>
      </c>
      <c r="C38" s="259" t="str">
        <f>VLOOKUP($B38,Activities!$A$10:$P$152,3,FALSE)</f>
        <v>The purchase only of non-native pasture grasses</v>
      </c>
      <c r="D38" s="239" t="s">
        <v>49</v>
      </c>
      <c r="E38" s="320"/>
      <c r="F38" s="246" t="str">
        <f>VLOOKUP($B38,Activities!$A$10:$P$152,4,FALSE)</f>
        <v>Ha</v>
      </c>
      <c r="G38" s="1269"/>
      <c r="H38" s="1270"/>
      <c r="I38" s="273">
        <f>VLOOKUP($B38,Activities!$A$10:$S$152,16,FALSE)</f>
        <v>1774.5180283018869</v>
      </c>
      <c r="J38" s="269"/>
      <c r="K38" s="388">
        <f t="shared" si="5"/>
        <v>0</v>
      </c>
      <c r="L38" s="248" t="str">
        <f t="shared" si="6"/>
        <v>0.0%</v>
      </c>
      <c r="M38" s="290" t="str">
        <f>VLOOKUP($B38,Activities!$A$10:$S$152,19,FALSE)</f>
        <v>This activity covers the purchase of non-native pasture grasses</v>
      </c>
    </row>
    <row r="39" spans="1:13" ht="42.75" customHeight="1" thickBot="1" x14ac:dyDescent="0.3">
      <c r="A39" s="1133"/>
      <c r="B39" s="245" t="s">
        <v>628</v>
      </c>
      <c r="C39" s="259" t="str">
        <f>VLOOKUP($B39,Activities!$A$10:$P$152,3,FALSE)</f>
        <v>The purchase only of general native seed mix</v>
      </c>
      <c r="D39" s="239" t="s">
        <v>49</v>
      </c>
      <c r="E39" s="320"/>
      <c r="F39" s="246" t="str">
        <f>VLOOKUP($B39,Activities!$A$10:$P$152,4,FALSE)</f>
        <v>Ha</v>
      </c>
      <c r="G39" s="1269"/>
      <c r="H39" s="1270"/>
      <c r="I39" s="273">
        <f>VLOOKUP($B39,Activities!$A$10:$S$152,16,FALSE)</f>
        <v>3439.8717452830197</v>
      </c>
      <c r="J39" s="269"/>
      <c r="K39" s="388">
        <f t="shared" si="5"/>
        <v>0</v>
      </c>
      <c r="L39" s="248" t="str">
        <f t="shared" si="6"/>
        <v>0.0%</v>
      </c>
      <c r="M39" s="290" t="str">
        <f>VLOOKUP($B39,Activities!$A$10:$S$152,19,FALSE)</f>
        <v>This activity covers the purchase of general native seed mix</v>
      </c>
    </row>
    <row r="40" spans="1:13" ht="42.75" customHeight="1" thickBot="1" x14ac:dyDescent="0.3">
      <c r="A40" s="1133"/>
      <c r="B40" s="245" t="s">
        <v>629</v>
      </c>
      <c r="C40" s="259" t="str">
        <f>VLOOKUP($B40,Activities!$A$10:$P$152,3,FALSE)</f>
        <v>The purchase only of local provenance native seed mix</v>
      </c>
      <c r="D40" s="239" t="s">
        <v>49</v>
      </c>
      <c r="E40" s="320"/>
      <c r="F40" s="246" t="str">
        <f>VLOOKUP($B40,Activities!$A$10:$P$152,4,FALSE)</f>
        <v>Ha</v>
      </c>
      <c r="G40" s="1269"/>
      <c r="H40" s="1270"/>
      <c r="I40" s="273">
        <f>VLOOKUP($B40,Activities!$A$10:$S$152,16,FALSE)</f>
        <v>10525.680933962265</v>
      </c>
      <c r="J40" s="269"/>
      <c r="K40" s="388">
        <f t="shared" si="5"/>
        <v>0</v>
      </c>
      <c r="L40" s="248" t="str">
        <f t="shared" si="6"/>
        <v>0.0%</v>
      </c>
      <c r="M40" s="290" t="str">
        <f>VLOOKUP($B40,Activities!$A$10:$S$152,19,FALSE)</f>
        <v>This activity covers the purchase of local provenance native seed mix</v>
      </c>
    </row>
    <row r="41" spans="1:13" ht="42.75" customHeight="1" thickBot="1" x14ac:dyDescent="0.3">
      <c r="A41" s="1133"/>
      <c r="B41" s="245" t="s">
        <v>630</v>
      </c>
      <c r="C41" s="259" t="str">
        <f>VLOOKUP($B41,Activities!$A$10:$P$152,3,FALSE)</f>
        <v>The purchase only of fertiliser for broadcast application</v>
      </c>
      <c r="D41" s="239" t="s">
        <v>49</v>
      </c>
      <c r="E41" s="320"/>
      <c r="F41" s="246" t="str">
        <f>VLOOKUP($B41,Activities!$A$10:$P$152,4,FALSE)</f>
        <v>Ha</v>
      </c>
      <c r="G41" s="1269"/>
      <c r="H41" s="1270"/>
      <c r="I41" s="273">
        <f>VLOOKUP($B41,Activities!$A$10:$S$152,16,FALSE)</f>
        <v>613.30500000000006</v>
      </c>
      <c r="J41" s="269"/>
      <c r="K41" s="388">
        <f t="shared" si="5"/>
        <v>0</v>
      </c>
      <c r="L41" s="248" t="str">
        <f t="shared" si="6"/>
        <v>0.0%</v>
      </c>
      <c r="M41" s="290" t="str">
        <f>VLOOKUP($B41,Activities!$A$10:$S$152,19,FALSE)</f>
        <v>This activity covers the purchase of local fertiliser for broadcast application.  It does not inlcude the application.</v>
      </c>
    </row>
    <row r="42" spans="1:13" ht="42.75" customHeight="1" thickBot="1" x14ac:dyDescent="0.3">
      <c r="A42" s="1133"/>
      <c r="B42" s="245" t="s">
        <v>631</v>
      </c>
      <c r="C42" s="259" t="str">
        <f>VLOOKUP($B42,Activities!$A$10:$P$152,3,FALSE)</f>
        <v>The purchase of native tubestock (including slow release fertiliser)</v>
      </c>
      <c r="D42" s="239" t="s">
        <v>49</v>
      </c>
      <c r="E42" s="320"/>
      <c r="F42" s="246" t="str">
        <f>VLOOKUP($B42,Activities!$A$10:$P$152,4,FALSE)</f>
        <v>Ha</v>
      </c>
      <c r="G42" s="1269"/>
      <c r="H42" s="1270"/>
      <c r="I42" s="273">
        <f>VLOOKUP($B42,Activities!$A$10:$S$152,16,FALSE)</f>
        <v>19729.952830188682</v>
      </c>
      <c r="J42" s="269"/>
      <c r="K42" s="388">
        <f t="shared" si="5"/>
        <v>0</v>
      </c>
      <c r="L42" s="248" t="str">
        <f t="shared" si="6"/>
        <v>0.0%</v>
      </c>
      <c r="M42" s="290" t="str">
        <f>VLOOKUP($B42,Activities!$A$10:$S$152,19,FALSE)</f>
        <v>The Activity includes the purchase of native tubestock (including slow release fertiliser).  It does not include planting.</v>
      </c>
    </row>
    <row r="43" spans="1:13" ht="42.75" customHeight="1" thickBot="1" x14ac:dyDescent="0.3">
      <c r="A43" s="1133"/>
      <c r="B43" s="245" t="s">
        <v>632</v>
      </c>
      <c r="C43" s="259" t="str">
        <f>VLOOKUP($B43,Activities!$A$10:$P$152,3,FALSE)</f>
        <v>Direct seeding along rip line or mechanical broadcast seeding</v>
      </c>
      <c r="D43" s="239" t="s">
        <v>49</v>
      </c>
      <c r="E43" s="320"/>
      <c r="F43" s="246" t="str">
        <f>VLOOKUP($B43,Activities!$A$10:$P$152,4,FALSE)</f>
        <v>Ha</v>
      </c>
      <c r="G43" s="1269"/>
      <c r="H43" s="1270"/>
      <c r="I43" s="273">
        <f>VLOOKUP($B43,Activities!$A$10:$S$152,16,FALSE)</f>
        <v>2100.7838269402318</v>
      </c>
      <c r="J43" s="269"/>
      <c r="K43" s="388">
        <f t="shared" si="5"/>
        <v>0</v>
      </c>
      <c r="L43" s="248" t="str">
        <f t="shared" si="6"/>
        <v>0.0%</v>
      </c>
      <c r="M43" s="290" t="str">
        <f>VLOOKUP($B43,Activities!$A$10:$S$152,19,FALSE)</f>
        <v>Sowing of separately purchased seed and or fertiliser for broadcast application that involves scattering seed, by hand or mechanically, over a relatively large area.</v>
      </c>
    </row>
    <row r="44" spans="1:13" ht="42.75" customHeight="1" thickBot="1" x14ac:dyDescent="0.3">
      <c r="A44" s="1133"/>
      <c r="B44" s="245" t="s">
        <v>633</v>
      </c>
      <c r="C44" s="259" t="str">
        <f>VLOOKUP($B44,Activities!$A$10:$P$152,3,FALSE)</f>
        <v>Hydromulching (does not include seed or fertiliser)</v>
      </c>
      <c r="D44" s="239" t="s">
        <v>49</v>
      </c>
      <c r="E44" s="240"/>
      <c r="F44" s="246" t="str">
        <f>VLOOKUP($B44,Activities!$A$10:$P$152,4,FALSE)</f>
        <v>Ha</v>
      </c>
      <c r="G44" s="1269"/>
      <c r="H44" s="1270"/>
      <c r="I44" s="273">
        <f>VLOOKUP($B44,Activities!$A$10:$S$152,16,FALSE)</f>
        <v>1583.2664818030244</v>
      </c>
      <c r="J44" s="269"/>
      <c r="K44" s="388">
        <f t="shared" si="5"/>
        <v>0</v>
      </c>
      <c r="L44" s="248" t="str">
        <f t="shared" si="6"/>
        <v>0.0%</v>
      </c>
      <c r="M44" s="290" t="str">
        <f>VLOOKUP($B44,Activities!$A$10:$S$152,19,FALSE)</f>
        <v>Hydromulching planting process that uses a slurry of seed and mulch. It is often used as an erosion control technique as an alternative to the traditional process of broadcasting or sowing dry seed.</v>
      </c>
    </row>
    <row r="45" spans="1:13" ht="42.75" customHeight="1" thickBot="1" x14ac:dyDescent="0.3">
      <c r="A45" s="1133"/>
      <c r="B45" s="245" t="s">
        <v>717</v>
      </c>
      <c r="C45" s="259" t="str">
        <f>VLOOKUP($B45,Activities!$A$10:$P$152,3,FALSE)</f>
        <v>Planting of tubestock &lt;15cm (assumes 1,000 plants per hectare)</v>
      </c>
      <c r="D45" s="239" t="s">
        <v>49</v>
      </c>
      <c r="E45" s="240"/>
      <c r="F45" s="246" t="str">
        <f>VLOOKUP($B45,Activities!$A$10:$P$152,4,FALSE)</f>
        <v>Ha</v>
      </c>
      <c r="G45" s="1269"/>
      <c r="H45" s="1270"/>
      <c r="I45" s="273">
        <f>VLOOKUP($B45,Activities!$A$10:$S$152,16,FALSE)</f>
        <v>1714.118869047619</v>
      </c>
      <c r="J45" s="269"/>
      <c r="K45" s="388">
        <f t="shared" si="5"/>
        <v>0</v>
      </c>
      <c r="L45" s="248" t="str">
        <f t="shared" si="6"/>
        <v>0.0%</v>
      </c>
      <c r="M45" s="290" t="str">
        <f>VLOOKUP($B45,Activities!$A$10:$S$152,19,FALSE)</f>
        <v>This Activity covers the hand planting of tubestock plants across a broad area.</v>
      </c>
    </row>
    <row r="46" spans="1:13" ht="60.75" thickBot="1" x14ac:dyDescent="0.3">
      <c r="A46" s="1134"/>
      <c r="B46" s="258" t="s">
        <v>25</v>
      </c>
      <c r="C46" s="259" t="str">
        <f>VLOOKUP($B46,Activities!$A$10:$P$152,3,FALSE)</f>
        <v xml:space="preserve">Construction of a stock proof fence including appropriate gates </v>
      </c>
      <c r="D46" s="239" t="s">
        <v>49</v>
      </c>
      <c r="E46" s="240"/>
      <c r="F46" s="246" t="str">
        <f>VLOOKUP($B46,Activities!$A$10:$P$152,4,FALSE)</f>
        <v>km</v>
      </c>
      <c r="G46" s="1269"/>
      <c r="H46" s="1270"/>
      <c r="I46" s="272">
        <f>VLOOKUP($B46,Activities!$A$10:$S$152,16,FALSE)</f>
        <v>13302.992584007126</v>
      </c>
      <c r="J46" s="269"/>
      <c r="K46" s="388">
        <f t="shared" si="5"/>
        <v>0</v>
      </c>
      <c r="L46" s="248" t="str">
        <f>IFERROR(IF(D46="Y",K46/$K$64,0%),"0.0%")</f>
        <v>0.0%</v>
      </c>
      <c r="M46" s="290" t="str">
        <f>VLOOKUP($B46,Activities!$A$10:$S$152,19,FALSE)</f>
        <v>This activity involves the construction of a stock proof fence to protect revegetation against stock and to provide an obstacle to persons to prevent inadvertant access.  It is not designed to prevent a person climbing over it.  It includes an allowance for gates.</v>
      </c>
    </row>
    <row r="47" spans="1:13" ht="15.75" thickBot="1" x14ac:dyDescent="0.3">
      <c r="A47" s="21" t="s">
        <v>53</v>
      </c>
      <c r="B47" s="112" t="str">
        <f>A35</f>
        <v>Topsoil Preparation and Revegetation of Waste Dump Area</v>
      </c>
      <c r="C47" s="23"/>
      <c r="D47" s="24"/>
      <c r="E47" s="25"/>
      <c r="F47" s="24"/>
      <c r="G47" s="24"/>
      <c r="H47" s="24"/>
      <c r="I47" s="26"/>
      <c r="J47" s="27"/>
      <c r="K47" s="28">
        <f>SUM(K35:K46)</f>
        <v>0</v>
      </c>
      <c r="L47" s="24"/>
      <c r="M47" s="29"/>
    </row>
    <row r="48" spans="1:13" ht="46.5" customHeight="1" thickBot="1" x14ac:dyDescent="0.3">
      <c r="A48" s="1361" t="s">
        <v>75</v>
      </c>
      <c r="B48" s="37"/>
      <c r="C48" s="218" t="s">
        <v>55</v>
      </c>
      <c r="D48" s="239" t="s">
        <v>49</v>
      </c>
      <c r="E48" s="346"/>
      <c r="F48" s="296"/>
      <c r="G48" s="1269"/>
      <c r="H48" s="1270"/>
      <c r="I48" s="355" t="s">
        <v>475</v>
      </c>
      <c r="J48" s="269"/>
      <c r="K48" s="387">
        <f>IF(D48="Y",J48*E48,"")</f>
        <v>0</v>
      </c>
      <c r="L48" s="145" t="str">
        <f>IFERROR(IF(D48="Y",K48/$K$53,0%),"0.0%")</f>
        <v>0.0%</v>
      </c>
      <c r="M48" s="139" t="s">
        <v>56</v>
      </c>
    </row>
    <row r="49" spans="1:13" ht="46.5" customHeight="1" thickBot="1" x14ac:dyDescent="0.3">
      <c r="A49" s="1361"/>
      <c r="B49" s="37"/>
      <c r="C49" s="218" t="s">
        <v>55</v>
      </c>
      <c r="D49" s="239" t="s">
        <v>49</v>
      </c>
      <c r="E49" s="346"/>
      <c r="F49" s="296"/>
      <c r="G49" s="1269"/>
      <c r="H49" s="1270"/>
      <c r="I49" s="355" t="s">
        <v>475</v>
      </c>
      <c r="J49" s="269"/>
      <c r="K49" s="387">
        <f>IF(D49="Y",J49*E49,"")</f>
        <v>0</v>
      </c>
      <c r="L49" s="145" t="str">
        <f>IFERROR(IF(D49="Y",K49/$K$53,0%),"0.0%")</f>
        <v>0.0%</v>
      </c>
      <c r="M49" s="139" t="s">
        <v>56</v>
      </c>
    </row>
    <row r="50" spans="1:13" ht="46.5" customHeight="1" thickBot="1" x14ac:dyDescent="0.3">
      <c r="A50" s="1361"/>
      <c r="B50" s="37"/>
      <c r="C50" s="218" t="s">
        <v>55</v>
      </c>
      <c r="D50" s="239" t="s">
        <v>49</v>
      </c>
      <c r="E50" s="346"/>
      <c r="F50" s="296"/>
      <c r="G50" s="1269"/>
      <c r="H50" s="1270"/>
      <c r="I50" s="355" t="s">
        <v>475</v>
      </c>
      <c r="J50" s="269"/>
      <c r="K50" s="387">
        <f>IF(D50="Y",J50*E50,"")</f>
        <v>0</v>
      </c>
      <c r="L50" s="145" t="str">
        <f>IFERROR(IF(D50="Y",K50/$K$53,0%),"0.0%")</f>
        <v>0.0%</v>
      </c>
      <c r="M50" s="139" t="s">
        <v>56</v>
      </c>
    </row>
    <row r="51" spans="1:13" ht="15.75" thickBot="1" x14ac:dyDescent="0.3">
      <c r="A51" s="21" t="s">
        <v>53</v>
      </c>
      <c r="B51" s="112" t="str">
        <f>A48</f>
        <v>Other Activity in Waste Dump Area</v>
      </c>
      <c r="C51" s="23"/>
      <c r="D51" s="24"/>
      <c r="E51" s="25"/>
      <c r="F51" s="24"/>
      <c r="G51" s="24"/>
      <c r="H51" s="24"/>
      <c r="I51" s="26"/>
      <c r="J51" s="27"/>
      <c r="K51" s="28">
        <f>SUM(K48:K50)</f>
        <v>0</v>
      </c>
      <c r="L51" s="24"/>
      <c r="M51" s="29"/>
    </row>
    <row r="52" spans="1:13" x14ac:dyDescent="0.25">
      <c r="A52" s="3"/>
      <c r="B52" s="3"/>
      <c r="C52" s="30"/>
      <c r="D52" s="9"/>
      <c r="E52" s="31"/>
      <c r="F52" s="9"/>
      <c r="G52" s="9"/>
      <c r="H52" s="9"/>
      <c r="I52" s="32"/>
      <c r="J52" s="2"/>
      <c r="K52" s="33"/>
      <c r="L52" s="9"/>
      <c r="M52" s="30"/>
    </row>
    <row r="53" spans="1:13" ht="21" x14ac:dyDescent="0.25">
      <c r="A53" s="3"/>
      <c r="B53" s="3"/>
      <c r="C53" s="30"/>
      <c r="D53" s="9"/>
      <c r="E53" s="31"/>
      <c r="F53" s="9"/>
      <c r="G53" s="9"/>
      <c r="H53" s="9"/>
      <c r="J53" s="34" t="s">
        <v>90</v>
      </c>
      <c r="K53" s="35">
        <f>K51+K47+K34+K26+K23</f>
        <v>0</v>
      </c>
      <c r="L53" s="9"/>
      <c r="M53" s="30"/>
    </row>
    <row r="54" spans="1:13" x14ac:dyDescent="0.25">
      <c r="A54" s="3"/>
      <c r="B54" s="3"/>
      <c r="C54" s="30"/>
      <c r="D54" s="9"/>
      <c r="E54" s="31"/>
      <c r="F54" s="9"/>
      <c r="G54" s="9"/>
      <c r="H54" s="9"/>
      <c r="I54" s="32"/>
      <c r="J54" s="2"/>
      <c r="K54" s="33"/>
      <c r="L54" s="9"/>
      <c r="M54" s="30"/>
    </row>
    <row r="55" spans="1:13" x14ac:dyDescent="0.25">
      <c r="A55" s="3"/>
      <c r="B55" s="3"/>
      <c r="C55" s="30"/>
      <c r="D55" s="9"/>
      <c r="E55" s="31"/>
      <c r="F55" s="9"/>
      <c r="G55" s="9"/>
      <c r="H55" s="9"/>
      <c r="I55" s="32"/>
      <c r="J55" s="2"/>
      <c r="K55" s="33"/>
      <c r="L55" s="9"/>
      <c r="M55" s="30"/>
    </row>
    <row r="56" spans="1:13" x14ac:dyDescent="0.25">
      <c r="A56" s="3"/>
      <c r="B56" s="3"/>
      <c r="C56" s="30"/>
      <c r="D56" s="9"/>
      <c r="E56" s="31"/>
      <c r="F56" s="9"/>
      <c r="G56" s="9"/>
      <c r="H56" s="9"/>
      <c r="I56" s="32"/>
      <c r="J56" s="2"/>
      <c r="K56" s="33"/>
      <c r="L56" s="9"/>
      <c r="M56" s="30"/>
    </row>
    <row r="57" spans="1:13" x14ac:dyDescent="0.25">
      <c r="A57" s="3"/>
      <c r="B57" s="3"/>
      <c r="C57" s="30"/>
      <c r="D57" s="9"/>
      <c r="E57" s="31"/>
      <c r="F57" s="9"/>
      <c r="G57" s="9"/>
      <c r="H57" s="9"/>
      <c r="I57" s="32"/>
      <c r="J57" s="2"/>
      <c r="K57" s="33"/>
      <c r="L57" s="9"/>
      <c r="M57" s="30"/>
    </row>
    <row r="58" spans="1:13" x14ac:dyDescent="0.25">
      <c r="A58" s="3"/>
      <c r="B58" s="3"/>
      <c r="C58" s="30"/>
      <c r="D58" s="9"/>
      <c r="E58" s="31"/>
      <c r="F58" s="9"/>
      <c r="G58" s="9"/>
      <c r="H58" s="9"/>
      <c r="I58" s="32"/>
      <c r="J58" s="2"/>
      <c r="K58" s="33"/>
      <c r="L58" s="9"/>
      <c r="M58" s="30"/>
    </row>
    <row r="59" spans="1:13" x14ac:dyDescent="0.25">
      <c r="A59" s="3"/>
      <c r="B59" s="3"/>
      <c r="C59" s="30"/>
      <c r="D59" s="9"/>
      <c r="E59" s="31"/>
      <c r="F59" s="9"/>
      <c r="G59" s="9"/>
      <c r="H59" s="9"/>
      <c r="I59" s="32"/>
      <c r="J59" s="2"/>
      <c r="K59" s="33"/>
      <c r="L59" s="9"/>
      <c r="M59" s="30"/>
    </row>
    <row r="60" spans="1:13" x14ac:dyDescent="0.25">
      <c r="A60" s="3"/>
      <c r="B60" s="3"/>
      <c r="C60" s="30"/>
      <c r="D60" s="9"/>
      <c r="E60" s="31"/>
      <c r="F60" s="9"/>
      <c r="G60" s="9"/>
      <c r="H60" s="9"/>
      <c r="I60" s="32"/>
      <c r="J60" s="2"/>
      <c r="K60" s="33"/>
      <c r="L60" s="9"/>
      <c r="M60" s="30"/>
    </row>
    <row r="61" spans="1:13" x14ac:dyDescent="0.25">
      <c r="A61" s="3"/>
      <c r="B61" s="3"/>
      <c r="C61" s="30"/>
      <c r="D61" s="9"/>
      <c r="E61" s="31"/>
      <c r="F61" s="9"/>
      <c r="G61" s="9"/>
      <c r="H61" s="9"/>
      <c r="I61" s="32"/>
      <c r="J61" s="2"/>
      <c r="K61" s="33"/>
      <c r="L61" s="9"/>
      <c r="M61" s="30"/>
    </row>
    <row r="62" spans="1:13" x14ac:dyDescent="0.25">
      <c r="A62" s="3"/>
      <c r="B62" s="3"/>
      <c r="C62" s="30"/>
      <c r="D62" s="9"/>
      <c r="E62" s="31"/>
      <c r="F62" s="9"/>
      <c r="G62" s="9"/>
      <c r="H62" s="9"/>
      <c r="I62" s="32"/>
      <c r="J62" s="2"/>
      <c r="K62" s="33"/>
      <c r="L62" s="9"/>
      <c r="M62" s="30"/>
    </row>
    <row r="63" spans="1:13" x14ac:dyDescent="0.25">
      <c r="A63" s="3"/>
      <c r="B63" s="3"/>
      <c r="C63" s="30"/>
      <c r="D63" s="9"/>
      <c r="E63" s="31"/>
      <c r="F63" s="9"/>
      <c r="G63" s="9"/>
      <c r="H63" s="9"/>
      <c r="I63" s="32"/>
      <c r="J63" s="2"/>
      <c r="K63" s="33"/>
      <c r="L63" s="9"/>
      <c r="M63" s="30"/>
    </row>
    <row r="64" spans="1:13" x14ac:dyDescent="0.25">
      <c r="A64" s="3"/>
      <c r="B64" s="3"/>
      <c r="C64" s="30"/>
      <c r="D64" s="9"/>
      <c r="E64" s="31"/>
      <c r="F64" s="9"/>
      <c r="G64" s="9"/>
      <c r="H64" s="9"/>
      <c r="I64" s="32"/>
      <c r="J64" s="2"/>
      <c r="K64" s="33"/>
      <c r="L64" s="9"/>
      <c r="M64" s="30"/>
    </row>
    <row r="65" spans="1:13" x14ac:dyDescent="0.25">
      <c r="A65" s="3"/>
      <c r="B65" s="3"/>
      <c r="C65" s="30"/>
      <c r="D65" s="9"/>
      <c r="E65" s="9"/>
      <c r="F65" s="9"/>
      <c r="G65" s="9"/>
      <c r="H65" s="9"/>
      <c r="I65" s="32"/>
      <c r="J65" s="2"/>
      <c r="K65" s="33"/>
      <c r="L65" s="9"/>
      <c r="M65" s="30"/>
    </row>
    <row r="66" spans="1:13" x14ac:dyDescent="0.25">
      <c r="A66" s="3"/>
      <c r="B66" s="3"/>
      <c r="C66" s="30"/>
      <c r="D66" s="9"/>
      <c r="E66" s="9"/>
      <c r="F66" s="9"/>
      <c r="G66" s="9"/>
      <c r="H66" s="9"/>
      <c r="I66" s="32"/>
      <c r="J66" s="2"/>
      <c r="K66" s="33"/>
      <c r="L66" s="9"/>
      <c r="M66" s="30"/>
    </row>
    <row r="67" spans="1:13" x14ac:dyDescent="0.25">
      <c r="C67" s="30"/>
      <c r="D67" s="9"/>
      <c r="E67" s="9"/>
      <c r="F67" s="9"/>
      <c r="G67" s="9"/>
      <c r="H67" s="9"/>
      <c r="I67" s="32"/>
      <c r="J67" s="2"/>
      <c r="K67" s="9"/>
      <c r="L67" s="9"/>
      <c r="M67" s="30"/>
    </row>
    <row r="68" spans="1:13" x14ac:dyDescent="0.25">
      <c r="C68" s="30"/>
      <c r="D68" s="9"/>
      <c r="E68" s="9"/>
      <c r="F68" s="9"/>
      <c r="G68" s="9"/>
      <c r="H68" s="9"/>
      <c r="I68" s="32"/>
      <c r="J68" s="2"/>
      <c r="K68" s="9"/>
      <c r="L68" s="9"/>
      <c r="M68" s="30"/>
    </row>
    <row r="69" spans="1:13" x14ac:dyDescent="0.25">
      <c r="C69" s="30"/>
      <c r="D69" s="9"/>
      <c r="E69" s="9"/>
      <c r="F69" s="9"/>
      <c r="G69" s="9"/>
      <c r="H69" s="9"/>
      <c r="I69" s="9"/>
      <c r="J69" s="9"/>
      <c r="K69" s="9"/>
      <c r="L69" s="9"/>
      <c r="M69" s="30"/>
    </row>
    <row r="70" spans="1:13" x14ac:dyDescent="0.25">
      <c r="D70" s="9"/>
      <c r="E70" s="9"/>
      <c r="F70" s="9"/>
      <c r="G70" s="9"/>
      <c r="H70" s="9"/>
      <c r="I70" s="9"/>
      <c r="J70" s="9"/>
      <c r="K70" s="9"/>
      <c r="L70" s="9"/>
    </row>
    <row r="71" spans="1:13" x14ac:dyDescent="0.25">
      <c r="D71" s="9"/>
      <c r="E71" s="9"/>
      <c r="F71" s="9"/>
      <c r="G71" s="9"/>
      <c r="H71" s="9"/>
      <c r="I71" s="9"/>
      <c r="J71" s="9"/>
      <c r="K71" s="9"/>
      <c r="L71" s="9"/>
    </row>
    <row r="72" spans="1:13" x14ac:dyDescent="0.25">
      <c r="D72" s="9"/>
      <c r="E72" s="9"/>
      <c r="F72" s="9"/>
      <c r="G72" s="9"/>
      <c r="H72" s="9"/>
      <c r="I72" s="9"/>
      <c r="J72" s="9"/>
      <c r="K72" s="9"/>
      <c r="L72" s="9"/>
    </row>
    <row r="73" spans="1:13" x14ac:dyDescent="0.25">
      <c r="D73" s="9"/>
      <c r="E73" s="9"/>
      <c r="F73" s="9"/>
      <c r="G73" s="9"/>
      <c r="H73" s="9"/>
      <c r="I73" s="9"/>
      <c r="J73" s="9"/>
      <c r="K73" s="9"/>
      <c r="L73" s="9"/>
    </row>
    <row r="74" spans="1:13" x14ac:dyDescent="0.25">
      <c r="D74" s="9"/>
      <c r="E74" s="9"/>
      <c r="F74" s="9"/>
      <c r="G74" s="9"/>
      <c r="H74" s="9"/>
      <c r="I74" s="9"/>
      <c r="J74" s="9"/>
      <c r="K74" s="9"/>
      <c r="L74" s="9"/>
    </row>
    <row r="75" spans="1:13" x14ac:dyDescent="0.25">
      <c r="D75" s="9"/>
      <c r="E75" s="9"/>
      <c r="F75" s="9"/>
      <c r="G75" s="9"/>
      <c r="H75" s="9"/>
      <c r="I75" s="9"/>
      <c r="J75" s="9"/>
      <c r="K75" s="9"/>
      <c r="L75" s="9"/>
    </row>
    <row r="76" spans="1:13" x14ac:dyDescent="0.25">
      <c r="D76" s="9"/>
      <c r="E76" s="9"/>
      <c r="F76" s="9"/>
      <c r="G76" s="9"/>
      <c r="H76" s="9"/>
      <c r="I76" s="9"/>
      <c r="J76" s="9"/>
      <c r="K76" s="9"/>
      <c r="L76" s="9"/>
    </row>
    <row r="77" spans="1:13" x14ac:dyDescent="0.25">
      <c r="D77" s="9"/>
      <c r="E77" s="9"/>
      <c r="F77" s="9"/>
      <c r="G77" s="9"/>
      <c r="H77" s="9"/>
      <c r="I77" s="9"/>
      <c r="J77" s="9"/>
      <c r="K77" s="9"/>
      <c r="L77" s="9"/>
    </row>
    <row r="78" spans="1:13" x14ac:dyDescent="0.25">
      <c r="D78" s="9"/>
      <c r="E78" s="9"/>
      <c r="F78" s="9"/>
      <c r="G78" s="9"/>
      <c r="H78" s="9"/>
      <c r="I78" s="9"/>
      <c r="J78" s="9"/>
      <c r="K78" s="9"/>
      <c r="L78" s="9"/>
    </row>
    <row r="79" spans="1:13" x14ac:dyDescent="0.25">
      <c r="D79" s="9"/>
      <c r="E79" s="9"/>
      <c r="F79" s="9"/>
      <c r="G79" s="9"/>
      <c r="H79" s="9"/>
      <c r="I79" s="9"/>
      <c r="J79" s="9"/>
      <c r="K79" s="9"/>
      <c r="L79" s="9"/>
    </row>
    <row r="80" spans="1:13" x14ac:dyDescent="0.25">
      <c r="D80" s="9"/>
      <c r="E80" s="9"/>
      <c r="F80" s="9"/>
      <c r="G80" s="9"/>
      <c r="H80" s="9"/>
      <c r="I80" s="9"/>
      <c r="J80" s="9"/>
      <c r="K80" s="9"/>
      <c r="L80" s="9"/>
    </row>
    <row r="81" spans="4:12" x14ac:dyDescent="0.25">
      <c r="D81" s="9"/>
      <c r="E81" s="9"/>
      <c r="F81" s="9"/>
      <c r="G81" s="9"/>
      <c r="H81" s="9"/>
      <c r="I81" s="9"/>
      <c r="J81" s="9"/>
      <c r="K81" s="9"/>
      <c r="L81" s="9"/>
    </row>
  </sheetData>
  <sheetProtection algorithmName="SHA-512" hashValue="Futft3Bso1hOKQiivhQsA4yFRQDEQLHmIhQY2t/Q2IRKLJUMzSFx2jakQf6soP9dfVCkHkf/u0k0qdfLU4cwLA==" saltValue="XrBQo9jTjp/ahGovi/wGDA==" spinCount="100000" sheet="1" formatCells="0" formatRows="0" selectLockedCells="1"/>
  <mergeCells count="51">
    <mergeCell ref="A48:A50"/>
    <mergeCell ref="G48:H48"/>
    <mergeCell ref="G49:H49"/>
    <mergeCell ref="G50:H50"/>
    <mergeCell ref="A24:A25"/>
    <mergeCell ref="G36:H36"/>
    <mergeCell ref="G33:H33"/>
    <mergeCell ref="G32:H32"/>
    <mergeCell ref="G31:H31"/>
    <mergeCell ref="A27:A33"/>
    <mergeCell ref="G24:H24"/>
    <mergeCell ref="G29:H29"/>
    <mergeCell ref="G46:H46"/>
    <mergeCell ref="G37:H37"/>
    <mergeCell ref="G38:H38"/>
    <mergeCell ref="A35:A46"/>
    <mergeCell ref="C1:E1"/>
    <mergeCell ref="K1:L1"/>
    <mergeCell ref="C2:E2"/>
    <mergeCell ref="C3:E3"/>
    <mergeCell ref="A5:E6"/>
    <mergeCell ref="A1:B1"/>
    <mergeCell ref="L20:M20"/>
    <mergeCell ref="B7:E7"/>
    <mergeCell ref="B8:E8"/>
    <mergeCell ref="G8:M19"/>
    <mergeCell ref="B9:E9"/>
    <mergeCell ref="B10:E10"/>
    <mergeCell ref="B11:E11"/>
    <mergeCell ref="B12:E12"/>
    <mergeCell ref="C14:E14"/>
    <mergeCell ref="A15:B15"/>
    <mergeCell ref="C15:E15"/>
    <mergeCell ref="A16:E19"/>
    <mergeCell ref="A14:B14"/>
    <mergeCell ref="R1:V1"/>
    <mergeCell ref="R9:V9"/>
    <mergeCell ref="F1:J3"/>
    <mergeCell ref="G42:H42"/>
    <mergeCell ref="G45:H45"/>
    <mergeCell ref="G44:H44"/>
    <mergeCell ref="G40:H40"/>
    <mergeCell ref="G5:J5"/>
    <mergeCell ref="G6:M7"/>
    <mergeCell ref="G27:H27"/>
    <mergeCell ref="G25:H25"/>
    <mergeCell ref="G21:H21"/>
    <mergeCell ref="G41:H41"/>
    <mergeCell ref="G43:H43"/>
    <mergeCell ref="G39:H39"/>
    <mergeCell ref="G28:H28"/>
  </mergeCells>
  <dataValidations count="3">
    <dataValidation type="list" allowBlank="1" showInputMessage="1" showErrorMessage="1" sqref="H35" xr:uid="{00000000-0002-0000-0B00-000000000000}">
      <formula1>$U$11:$U$15</formula1>
    </dataValidation>
    <dataValidation type="list" allowBlank="1" showInputMessage="1" showErrorMessage="1" sqref="H30" xr:uid="{00000000-0002-0000-0B00-000001000000}">
      <formula1>$U$3:$U$7</formula1>
    </dataValidation>
    <dataValidation type="list" allowBlank="1" showInputMessage="1" showErrorMessage="1" sqref="H22" xr:uid="{00000000-0002-0000-0B00-000002000000}">
      <formula1>$X$2:$X$4</formula1>
    </dataValidation>
  </dataValidations>
  <pageMargins left="0.70866141732283472" right="0.70866141732283472" top="0.74803149606299213" bottom="0.74803149606299213" header="0.31496062992125984" footer="0.31496062992125984"/>
  <pageSetup paperSize="9" scale="54" fitToHeight="3" orientation="landscape" r:id="rId1"/>
  <headerFooter>
    <oddHeader>&amp;LDepartment for Energy and Mining&amp;C&amp;"Arial"&amp;12&amp;KA80000 OFFICIAL&amp;1#_x000D_</oddHeader>
    <oddFooter>&amp;L&amp;Z
&amp;F&amp;C&amp;P&amp;R&amp;D</odd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Y72"/>
  <sheetViews>
    <sheetView showGridLines="0" zoomScale="90" zoomScaleNormal="90" workbookViewId="0">
      <selection activeCell="G8" sqref="G8:M19"/>
    </sheetView>
  </sheetViews>
  <sheetFormatPr defaultRowHeight="15" x14ac:dyDescent="0.25"/>
  <cols>
    <col min="1" max="1" width="19.85546875" customWidth="1"/>
    <col min="2" max="2" width="10.42578125" customWidth="1"/>
    <col min="3" max="3" width="37.7109375" customWidth="1"/>
    <col min="4" max="4" width="13.5703125" customWidth="1"/>
    <col min="5" max="5" width="11" customWidth="1"/>
    <col min="7" max="7" width="21.5703125" customWidth="1"/>
    <col min="8" max="8" width="15" customWidth="1"/>
    <col min="9" max="9" width="12.7109375" customWidth="1"/>
    <col min="10" max="10" width="12.140625" customWidth="1"/>
    <col min="11" max="11" width="14.42578125" customWidth="1"/>
    <col min="12" max="12" width="13.5703125" customWidth="1"/>
    <col min="13" max="13" width="50.42578125" customWidth="1"/>
    <col min="17" max="17" width="11" customWidth="1"/>
    <col min="18" max="18" width="12.42578125" customWidth="1"/>
    <col min="19" max="19" width="17.5703125" customWidth="1"/>
    <col min="20" max="22" width="12.42578125" customWidth="1"/>
    <col min="24" max="24" width="29.42578125" bestFit="1" customWidth="1"/>
    <col min="25" max="25" width="9.5703125" bestFit="1" customWidth="1"/>
  </cols>
  <sheetData>
    <row r="1" spans="1:25" ht="52.5" customHeight="1" x14ac:dyDescent="0.25">
      <c r="A1" s="1322" t="s">
        <v>492</v>
      </c>
      <c r="B1" s="1323"/>
      <c r="C1" s="1324" t="str">
        <f>'Summary Page'!E13</f>
        <v/>
      </c>
      <c r="D1" s="1325"/>
      <c r="E1" s="1326"/>
      <c r="F1" s="1360"/>
      <c r="G1" s="1285"/>
      <c r="H1" s="1285"/>
      <c r="I1" s="1285"/>
      <c r="J1" s="1286"/>
      <c r="K1" s="1295" t="s">
        <v>460</v>
      </c>
      <c r="L1" s="1295"/>
      <c r="M1" s="404" t="s">
        <v>842</v>
      </c>
      <c r="P1" s="525" t="str">
        <f>B30</f>
        <v>A1006</v>
      </c>
      <c r="Q1" s="526" t="s">
        <v>19</v>
      </c>
      <c r="R1" s="1273" t="s">
        <v>893</v>
      </c>
      <c r="S1" s="1274"/>
      <c r="T1" s="1274"/>
      <c r="U1" s="1274"/>
      <c r="V1" s="1275"/>
      <c r="X1" s="516" t="s">
        <v>74</v>
      </c>
      <c r="Y1" s="517" t="s">
        <v>608</v>
      </c>
    </row>
    <row r="2" spans="1:25" ht="21" x14ac:dyDescent="0.35">
      <c r="A2" s="368" t="s">
        <v>461</v>
      </c>
      <c r="B2" s="325">
        <v>4</v>
      </c>
      <c r="C2" s="1296" t="str">
        <f>'Summary Page'!E19</f>
        <v/>
      </c>
      <c r="D2" s="1297"/>
      <c r="E2" s="1348"/>
      <c r="F2" s="1287"/>
      <c r="G2" s="1288"/>
      <c r="H2" s="1288"/>
      <c r="I2" s="1288"/>
      <c r="J2" s="1289"/>
      <c r="K2" s="326"/>
      <c r="L2" s="327" t="s">
        <v>152</v>
      </c>
      <c r="M2" s="328">
        <f>K53</f>
        <v>0</v>
      </c>
      <c r="P2" s="297" t="s">
        <v>61</v>
      </c>
      <c r="Q2" s="371" t="s">
        <v>58</v>
      </c>
      <c r="R2" s="371" t="s">
        <v>59</v>
      </c>
      <c r="S2" s="371" t="s">
        <v>60</v>
      </c>
      <c r="T2" s="371" t="s">
        <v>53</v>
      </c>
      <c r="U2" s="372" t="s">
        <v>61</v>
      </c>
      <c r="V2" s="373" t="s">
        <v>53</v>
      </c>
      <c r="X2" s="41" t="s">
        <v>839</v>
      </c>
      <c r="Y2" s="466">
        <f>VLOOKUP(B22,Activities!A10:Q129,16,FALSE)</f>
        <v>27868.467286149284</v>
      </c>
    </row>
    <row r="3" spans="1:25" ht="21" x14ac:dyDescent="0.25">
      <c r="A3" s="329" t="s">
        <v>267</v>
      </c>
      <c r="B3" s="330">
        <f>'Version Control'!B50</f>
        <v>7</v>
      </c>
      <c r="C3" s="1356" t="s">
        <v>547</v>
      </c>
      <c r="D3" s="1357"/>
      <c r="E3" s="1358"/>
      <c r="F3" s="1290"/>
      <c r="G3" s="1291"/>
      <c r="H3" s="1291"/>
      <c r="I3" s="1291"/>
      <c r="J3" s="1292"/>
      <c r="K3" s="331"/>
      <c r="L3" s="332" t="s">
        <v>462</v>
      </c>
      <c r="M3" s="333">
        <f>'Summary Page'!J73</f>
        <v>0</v>
      </c>
      <c r="P3" s="374" t="s">
        <v>35</v>
      </c>
      <c r="Q3" s="357">
        <f>VLOOKUP(P1,Activities!$A$10:$Q$152,16,FALSE)</f>
        <v>1.1086505828514972</v>
      </c>
      <c r="R3" s="357">
        <f>VLOOKUP(Q1,Activities!$A$10:$Q$152,16,FALSE)</f>
        <v>1.1303836975020005</v>
      </c>
      <c r="S3" s="376">
        <v>1</v>
      </c>
      <c r="T3" s="375">
        <f>R3+Q3</f>
        <v>2.2390342803534979</v>
      </c>
      <c r="U3" s="235" t="s">
        <v>35</v>
      </c>
      <c r="V3" s="377">
        <f>T3</f>
        <v>2.2390342803534979</v>
      </c>
      <c r="X3" s="71" t="s">
        <v>840</v>
      </c>
      <c r="Y3" s="467">
        <f>Y2*2</f>
        <v>55736.934572298567</v>
      </c>
    </row>
    <row r="4" spans="1:25" ht="18.75" customHeight="1" x14ac:dyDescent="0.25">
      <c r="A4" s="334" t="s">
        <v>463</v>
      </c>
      <c r="B4" s="335">
        <f>'Version Control'!A50</f>
        <v>45531</v>
      </c>
      <c r="C4" s="233"/>
      <c r="D4" s="233"/>
      <c r="E4" s="233"/>
      <c r="F4" s="233"/>
      <c r="G4" s="233"/>
      <c r="H4" s="233"/>
      <c r="I4" s="233"/>
      <c r="J4" s="233"/>
      <c r="K4" s="294"/>
      <c r="L4" s="336" t="s">
        <v>464</v>
      </c>
      <c r="M4" s="337" t="e">
        <f>M2/M3</f>
        <v>#DIV/0!</v>
      </c>
      <c r="P4" s="374" t="s">
        <v>36</v>
      </c>
      <c r="Q4" s="375">
        <f>Q3</f>
        <v>1.1086505828514972</v>
      </c>
      <c r="R4" s="375">
        <f>R3*2</f>
        <v>2.260767395004001</v>
      </c>
      <c r="S4" s="376">
        <v>0.8</v>
      </c>
      <c r="T4" s="375">
        <f>Q4+(R4*S4)</f>
        <v>2.9172644988546983</v>
      </c>
      <c r="U4" s="235" t="s">
        <v>36</v>
      </c>
      <c r="V4" s="377">
        <f>T4</f>
        <v>2.9172644988546983</v>
      </c>
      <c r="X4" s="52" t="s">
        <v>613</v>
      </c>
      <c r="Y4" s="124"/>
    </row>
    <row r="5" spans="1:25" ht="19.5" customHeight="1" x14ac:dyDescent="0.25">
      <c r="A5" s="1349" t="s">
        <v>465</v>
      </c>
      <c r="B5" s="1298"/>
      <c r="C5" s="1298"/>
      <c r="D5" s="1298"/>
      <c r="E5" s="1299"/>
      <c r="F5" s="233"/>
      <c r="G5" s="1302" t="s">
        <v>466</v>
      </c>
      <c r="H5" s="1303"/>
      <c r="I5" s="1303"/>
      <c r="J5" s="1304"/>
      <c r="K5" s="233"/>
      <c r="L5" s="233"/>
      <c r="M5" s="233"/>
      <c r="P5" s="374" t="s">
        <v>37</v>
      </c>
      <c r="Q5" s="375">
        <f t="shared" ref="Q5:Q6" si="0">Q4</f>
        <v>1.1086505828514972</v>
      </c>
      <c r="R5" s="375">
        <f>R3*4</f>
        <v>4.5215347900080021</v>
      </c>
      <c r="S5" s="376">
        <v>0.7</v>
      </c>
      <c r="T5" s="375">
        <f>Q5+(R5*S5)</f>
        <v>4.2737249358570981</v>
      </c>
      <c r="U5" s="235" t="s">
        <v>37</v>
      </c>
      <c r="V5" s="377">
        <f>T5</f>
        <v>4.2737249358570981</v>
      </c>
    </row>
    <row r="6" spans="1:25" ht="19.5" customHeight="1" x14ac:dyDescent="0.25">
      <c r="A6" s="1350"/>
      <c r="B6" s="1351"/>
      <c r="C6" s="1351"/>
      <c r="D6" s="1351"/>
      <c r="E6" s="1352"/>
      <c r="F6" s="299"/>
      <c r="G6" s="1305" t="s">
        <v>484</v>
      </c>
      <c r="H6" s="1306"/>
      <c r="I6" s="1306"/>
      <c r="J6" s="1306"/>
      <c r="K6" s="1306"/>
      <c r="L6" s="1306"/>
      <c r="M6" s="1307"/>
      <c r="P6" s="374" t="s">
        <v>38</v>
      </c>
      <c r="Q6" s="375">
        <f t="shared" si="0"/>
        <v>1.1086505828514972</v>
      </c>
      <c r="R6" s="375">
        <f>R3*8</f>
        <v>9.0430695800160041</v>
      </c>
      <c r="S6" s="376">
        <v>0.6</v>
      </c>
      <c r="T6" s="375">
        <f>Q6+(R6*S6)</f>
        <v>6.5344923308610987</v>
      </c>
      <c r="U6" s="235" t="s">
        <v>244</v>
      </c>
      <c r="V6" s="377">
        <f>T6</f>
        <v>6.5344923308610987</v>
      </c>
    </row>
    <row r="7" spans="1:25" ht="15" customHeight="1" x14ac:dyDescent="0.25">
      <c r="A7" s="348">
        <v>1</v>
      </c>
      <c r="B7" s="1353" t="s">
        <v>498</v>
      </c>
      <c r="C7" s="1354"/>
      <c r="D7" s="1354"/>
      <c r="E7" s="1355"/>
      <c r="F7" s="339"/>
      <c r="G7" s="1308"/>
      <c r="H7" s="1309"/>
      <c r="I7" s="1309"/>
      <c r="J7" s="1309"/>
      <c r="K7" s="1309"/>
      <c r="L7" s="1309"/>
      <c r="M7" s="1310"/>
      <c r="P7" s="238"/>
      <c r="Q7" s="236"/>
      <c r="R7" s="236"/>
      <c r="S7" s="236"/>
      <c r="T7" s="236"/>
      <c r="U7" s="236" t="s">
        <v>264</v>
      </c>
      <c r="V7" s="237"/>
    </row>
    <row r="8" spans="1:25" ht="15" customHeight="1" x14ac:dyDescent="0.25">
      <c r="A8" s="297">
        <v>2</v>
      </c>
      <c r="B8" s="1340" t="s">
        <v>499</v>
      </c>
      <c r="C8" s="1341"/>
      <c r="D8" s="1341"/>
      <c r="E8" s="1342"/>
      <c r="F8" s="339"/>
      <c r="G8" s="1137"/>
      <c r="H8" s="1138"/>
      <c r="I8" s="1138"/>
      <c r="J8" s="1138"/>
      <c r="K8" s="1138"/>
      <c r="L8" s="1138"/>
      <c r="M8" s="1139"/>
      <c r="P8" s="233"/>
      <c r="Q8" s="233"/>
      <c r="R8" s="233"/>
      <c r="S8" s="233"/>
      <c r="T8" s="233"/>
      <c r="U8" s="233"/>
      <c r="V8" s="233"/>
    </row>
    <row r="9" spans="1:25" ht="15" customHeight="1" x14ac:dyDescent="0.25">
      <c r="A9" s="297">
        <v>3</v>
      </c>
      <c r="B9" s="1327" t="s">
        <v>494</v>
      </c>
      <c r="C9" s="1327"/>
      <c r="D9" s="1327"/>
      <c r="E9" s="1328"/>
      <c r="F9" s="339"/>
      <c r="G9" s="1140"/>
      <c r="H9" s="1329"/>
      <c r="I9" s="1329"/>
      <c r="J9" s="1329"/>
      <c r="K9" s="1329"/>
      <c r="L9" s="1329"/>
      <c r="M9" s="1142"/>
      <c r="P9" s="525" t="str">
        <f>B35</f>
        <v>A1013</v>
      </c>
      <c r="Q9" s="526" t="s">
        <v>19</v>
      </c>
      <c r="R9" s="1273" t="s">
        <v>72</v>
      </c>
      <c r="S9" s="1274"/>
      <c r="T9" s="1274"/>
      <c r="U9" s="1274"/>
      <c r="V9" s="1275"/>
    </row>
    <row r="10" spans="1:25" ht="15" customHeight="1" x14ac:dyDescent="0.25">
      <c r="A10" s="297">
        <v>4</v>
      </c>
      <c r="B10" s="1327" t="s">
        <v>500</v>
      </c>
      <c r="C10" s="1327"/>
      <c r="D10" s="1327"/>
      <c r="E10" s="1328"/>
      <c r="F10" s="339"/>
      <c r="G10" s="1140"/>
      <c r="H10" s="1329"/>
      <c r="I10" s="1329"/>
      <c r="J10" s="1329"/>
      <c r="K10" s="1329"/>
      <c r="L10" s="1329"/>
      <c r="M10" s="1142"/>
      <c r="P10" s="297" t="s">
        <v>61</v>
      </c>
      <c r="Q10" s="371" t="s">
        <v>58</v>
      </c>
      <c r="R10" s="371" t="s">
        <v>59</v>
      </c>
      <c r="S10" s="371" t="s">
        <v>60</v>
      </c>
      <c r="T10" s="371" t="s">
        <v>53</v>
      </c>
      <c r="U10" s="372" t="s">
        <v>61</v>
      </c>
      <c r="V10" s="373" t="s">
        <v>53</v>
      </c>
    </row>
    <row r="11" spans="1:25" ht="15" customHeight="1" x14ac:dyDescent="0.25">
      <c r="A11" s="297">
        <v>5</v>
      </c>
      <c r="B11" s="1330" t="s">
        <v>841</v>
      </c>
      <c r="C11" s="1331"/>
      <c r="D11" s="1331"/>
      <c r="E11" s="1332"/>
      <c r="F11" s="339"/>
      <c r="G11" s="1140"/>
      <c r="H11" s="1329"/>
      <c r="I11" s="1329"/>
      <c r="J11" s="1329"/>
      <c r="K11" s="1329"/>
      <c r="L11" s="1329"/>
      <c r="M11" s="1142"/>
      <c r="P11" s="374" t="s">
        <v>35</v>
      </c>
      <c r="Q11" s="357">
        <f>VLOOKUP(P9,Activities!$A$10:$Q$152,16,FALSE)</f>
        <v>1.4289323610931841</v>
      </c>
      <c r="R11" s="357">
        <f>VLOOKUP(Q9,Activities!$A$10:$Q$152,16,FALSE)</f>
        <v>1.1303836975020005</v>
      </c>
      <c r="S11" s="376">
        <v>1</v>
      </c>
      <c r="T11" s="375">
        <f>R11+Q11</f>
        <v>2.5593160585951846</v>
      </c>
      <c r="U11" s="235" t="s">
        <v>35</v>
      </c>
      <c r="V11" s="377">
        <f>T11</f>
        <v>2.5593160585951846</v>
      </c>
    </row>
    <row r="12" spans="1:25" ht="15" customHeight="1" x14ac:dyDescent="0.25">
      <c r="A12" s="305">
        <v>6</v>
      </c>
      <c r="B12" s="1346" t="s">
        <v>84</v>
      </c>
      <c r="C12" s="1346"/>
      <c r="D12" s="1346"/>
      <c r="E12" s="1347"/>
      <c r="F12" s="233"/>
      <c r="G12" s="1140"/>
      <c r="H12" s="1329"/>
      <c r="I12" s="1329"/>
      <c r="J12" s="1329"/>
      <c r="K12" s="1329"/>
      <c r="L12" s="1329"/>
      <c r="M12" s="1142"/>
      <c r="P12" s="374" t="s">
        <v>36</v>
      </c>
      <c r="Q12" s="375">
        <f>Q11</f>
        <v>1.4289323610931841</v>
      </c>
      <c r="R12" s="375">
        <f>R11*2</f>
        <v>2.260767395004001</v>
      </c>
      <c r="S12" s="376">
        <v>0.8</v>
      </c>
      <c r="T12" s="375">
        <f>Q12+(R12*S12)</f>
        <v>3.237546277096385</v>
      </c>
      <c r="U12" s="235" t="s">
        <v>36</v>
      </c>
      <c r="V12" s="377">
        <f>T12</f>
        <v>3.237546277096385</v>
      </c>
    </row>
    <row r="13" spans="1:25" ht="15" customHeight="1" x14ac:dyDescent="0.25">
      <c r="A13" s="340" t="s">
        <v>34</v>
      </c>
      <c r="B13" s="233"/>
      <c r="C13" s="233"/>
      <c r="D13" s="233"/>
      <c r="E13" s="233"/>
      <c r="F13" s="233"/>
      <c r="G13" s="1140"/>
      <c r="H13" s="1329"/>
      <c r="I13" s="1329"/>
      <c r="J13" s="1329"/>
      <c r="K13" s="1329"/>
      <c r="L13" s="1329"/>
      <c r="M13" s="1142"/>
      <c r="P13" s="374" t="s">
        <v>37</v>
      </c>
      <c r="Q13" s="375">
        <f t="shared" ref="Q13:Q14" si="1">Q12</f>
        <v>1.4289323610931841</v>
      </c>
      <c r="R13" s="375">
        <f>R11*4</f>
        <v>4.5215347900080021</v>
      </c>
      <c r="S13" s="376">
        <v>0.7</v>
      </c>
      <c r="T13" s="375">
        <f>Q13+(R13*S13)</f>
        <v>4.5940067140987857</v>
      </c>
      <c r="U13" s="235" t="s">
        <v>37</v>
      </c>
      <c r="V13" s="377">
        <f>T13</f>
        <v>4.5940067140987857</v>
      </c>
    </row>
    <row r="14" spans="1:25" ht="15" customHeight="1" x14ac:dyDescent="0.25">
      <c r="A14" s="1276"/>
      <c r="B14" s="1277"/>
      <c r="C14" s="1278" t="s">
        <v>352</v>
      </c>
      <c r="D14" s="1278"/>
      <c r="E14" s="1279"/>
      <c r="F14" s="233"/>
      <c r="G14" s="1140"/>
      <c r="H14" s="1329"/>
      <c r="I14" s="1329"/>
      <c r="J14" s="1329"/>
      <c r="K14" s="1329"/>
      <c r="L14" s="1329"/>
      <c r="M14" s="1142"/>
      <c r="P14" s="374" t="s">
        <v>38</v>
      </c>
      <c r="Q14" s="375">
        <f t="shared" si="1"/>
        <v>1.4289323610931841</v>
      </c>
      <c r="R14" s="375">
        <f>R11*8</f>
        <v>9.0430695800160041</v>
      </c>
      <c r="S14" s="376">
        <v>0.6</v>
      </c>
      <c r="T14" s="375">
        <f>Q14+(R14*S14)</f>
        <v>6.8547741091027863</v>
      </c>
      <c r="U14" s="235" t="s">
        <v>244</v>
      </c>
      <c r="V14" s="377">
        <f>T14</f>
        <v>6.8547741091027863</v>
      </c>
    </row>
    <row r="15" spans="1:25" ht="15" customHeight="1" x14ac:dyDescent="0.25">
      <c r="A15" s="1201"/>
      <c r="B15" s="1202"/>
      <c r="C15" s="1280" t="s">
        <v>467</v>
      </c>
      <c r="D15" s="1280"/>
      <c r="E15" s="1281"/>
      <c r="F15" s="233"/>
      <c r="G15" s="1140"/>
      <c r="H15" s="1329"/>
      <c r="I15" s="1329"/>
      <c r="J15" s="1329"/>
      <c r="K15" s="1329"/>
      <c r="L15" s="1329"/>
      <c r="M15" s="1142"/>
      <c r="P15" s="378"/>
      <c r="Q15" s="379"/>
      <c r="R15" s="379"/>
      <c r="S15" s="379"/>
      <c r="T15" s="379"/>
      <c r="U15" s="236" t="s">
        <v>264</v>
      </c>
      <c r="V15" s="380"/>
    </row>
    <row r="16" spans="1:25" ht="18.75" customHeight="1" x14ac:dyDescent="0.25">
      <c r="A16" s="1284" t="s">
        <v>824</v>
      </c>
      <c r="B16" s="1285"/>
      <c r="C16" s="1285"/>
      <c r="D16" s="1285"/>
      <c r="E16" s="1286"/>
      <c r="F16" s="233"/>
      <c r="G16" s="1140"/>
      <c r="H16" s="1329"/>
      <c r="I16" s="1329"/>
      <c r="J16" s="1329"/>
      <c r="K16" s="1329"/>
      <c r="L16" s="1329"/>
      <c r="M16" s="1142"/>
      <c r="Q16" s="4"/>
      <c r="R16" s="4"/>
      <c r="S16" s="532"/>
      <c r="T16" s="4"/>
      <c r="V16" s="4"/>
    </row>
    <row r="17" spans="1:23" ht="15" customHeight="1" x14ac:dyDescent="0.25">
      <c r="A17" s="1287"/>
      <c r="B17" s="1288"/>
      <c r="C17" s="1288"/>
      <c r="D17" s="1288"/>
      <c r="E17" s="1289"/>
      <c r="F17" s="233"/>
      <c r="G17" s="1140"/>
      <c r="H17" s="1329"/>
      <c r="I17" s="1329"/>
      <c r="J17" s="1329"/>
      <c r="K17" s="1329"/>
      <c r="L17" s="1329"/>
      <c r="M17" s="1142"/>
      <c r="Q17" s="4"/>
      <c r="R17" s="4"/>
      <c r="S17" s="342"/>
      <c r="T17" s="4"/>
      <c r="V17" s="4"/>
    </row>
    <row r="18" spans="1:23" ht="15" customHeight="1" x14ac:dyDescent="0.25">
      <c r="A18" s="1287"/>
      <c r="B18" s="1288"/>
      <c r="C18" s="1288"/>
      <c r="D18" s="1288"/>
      <c r="E18" s="1289"/>
      <c r="F18" s="233"/>
      <c r="G18" s="1140"/>
      <c r="H18" s="1329"/>
      <c r="I18" s="1329"/>
      <c r="J18" s="1329"/>
      <c r="K18" s="1329"/>
      <c r="L18" s="1329"/>
      <c r="M18" s="1142"/>
      <c r="Q18" s="4"/>
      <c r="R18" s="4"/>
      <c r="S18" s="342"/>
      <c r="T18" s="4"/>
      <c r="V18" s="4"/>
    </row>
    <row r="19" spans="1:23" ht="15" customHeight="1" x14ac:dyDescent="0.25">
      <c r="A19" s="1290"/>
      <c r="B19" s="1291"/>
      <c r="C19" s="1291"/>
      <c r="D19" s="1291"/>
      <c r="E19" s="1292"/>
      <c r="F19" s="233"/>
      <c r="G19" s="1143"/>
      <c r="H19" s="1144"/>
      <c r="I19" s="1144"/>
      <c r="J19" s="1144"/>
      <c r="K19" s="1144"/>
      <c r="L19" s="1144"/>
      <c r="M19" s="1145"/>
    </row>
    <row r="20" spans="1:23" s="1" customFormat="1" ht="18.75" x14ac:dyDescent="0.3">
      <c r="A20" s="233"/>
      <c r="B20" s="233"/>
      <c r="C20" s="233"/>
      <c r="D20" s="366"/>
      <c r="E20" s="233"/>
      <c r="F20" s="233"/>
      <c r="G20" s="233"/>
      <c r="H20" s="233"/>
      <c r="I20" s="233"/>
      <c r="J20" s="219"/>
      <c r="K20" s="367"/>
      <c r="L20" s="1291"/>
      <c r="M20" s="1292"/>
      <c r="P20" s="6"/>
      <c r="Q20"/>
      <c r="R20"/>
      <c r="S20"/>
      <c r="T20"/>
      <c r="U20"/>
      <c r="V20"/>
      <c r="W20"/>
    </row>
    <row r="21" spans="1:23" ht="60.75" customHeight="1" thickBot="1" x14ac:dyDescent="0.3">
      <c r="A21" s="119" t="s">
        <v>39</v>
      </c>
      <c r="B21" s="120" t="s">
        <v>40</v>
      </c>
      <c r="C21" s="120" t="s">
        <v>479</v>
      </c>
      <c r="D21" s="311" t="s">
        <v>272</v>
      </c>
      <c r="E21" s="311" t="s">
        <v>43</v>
      </c>
      <c r="F21" s="120" t="s">
        <v>273</v>
      </c>
      <c r="G21" s="1212" t="s">
        <v>416</v>
      </c>
      <c r="H21" s="1212"/>
      <c r="I21" s="120" t="s">
        <v>45</v>
      </c>
      <c r="J21" s="312" t="s">
        <v>271</v>
      </c>
      <c r="K21" s="120" t="s">
        <v>47</v>
      </c>
      <c r="L21" s="120" t="s">
        <v>270</v>
      </c>
      <c r="M21" s="317" t="s">
        <v>415</v>
      </c>
      <c r="Q21" s="4"/>
      <c r="R21" s="4"/>
      <c r="S21" s="342"/>
      <c r="T21" s="4"/>
      <c r="V21" s="4"/>
    </row>
    <row r="22" spans="1:23" ht="48.75" thickBot="1" x14ac:dyDescent="0.3">
      <c r="A22" s="486" t="s">
        <v>76</v>
      </c>
      <c r="B22" s="245" t="s">
        <v>608</v>
      </c>
      <c r="C22" s="259" t="str">
        <f>VLOOKUP($B22,Activities!$A$10:$P$152,3,FALSE)</f>
        <v>Design/Quantify/Survey Rehabilitation Structures to Specification Standard</v>
      </c>
      <c r="D22" s="239" t="s">
        <v>49</v>
      </c>
      <c r="E22" s="240"/>
      <c r="F22" s="246" t="s">
        <v>50</v>
      </c>
      <c r="G22" s="313" t="s">
        <v>838</v>
      </c>
      <c r="H22" s="140" t="s">
        <v>613</v>
      </c>
      <c r="I22" s="273">
        <f>VLOOKUP(H22,X2:Y4,2,FALSE)</f>
        <v>0</v>
      </c>
      <c r="J22" s="269"/>
      <c r="K22" s="390">
        <f t="shared" ref="K22" si="2">IF(D22="Y",IF(J22="",I22*E22,J22*E22),"")</f>
        <v>0</v>
      </c>
      <c r="L22" s="248" t="str">
        <f>IFERROR(IF(D22="Y",K22/$K$63,0%),"0.0%")</f>
        <v>0.0%</v>
      </c>
      <c r="M22" s="290" t="str">
        <f>VLOOKUP($B22,Activities!$A$10:$S$152,19,FALSE)</f>
        <v>This item covers the cost of a third party called in to determine the extent of work required and to assess the methodology to complete the work and any other design or planning activities required.</v>
      </c>
      <c r="Q22" s="4"/>
      <c r="R22" s="4"/>
      <c r="S22" s="342"/>
      <c r="T22" s="4"/>
      <c r="V22" s="4"/>
    </row>
    <row r="23" spans="1:23" ht="16.5" thickBot="1" x14ac:dyDescent="0.3">
      <c r="A23" s="21" t="s">
        <v>53</v>
      </c>
      <c r="B23" s="112" t="str">
        <f>A22</f>
        <v>Preliminaries</v>
      </c>
      <c r="C23" s="113"/>
      <c r="D23" s="24"/>
      <c r="E23" s="25"/>
      <c r="F23" s="24"/>
      <c r="G23" s="24"/>
      <c r="H23" s="24"/>
      <c r="I23" s="26"/>
      <c r="J23" s="27"/>
      <c r="K23" s="28">
        <f>SUM(K22:K22)</f>
        <v>0</v>
      </c>
      <c r="L23" s="24"/>
      <c r="M23" s="29"/>
      <c r="Q23" s="4"/>
      <c r="R23" s="4"/>
      <c r="S23" s="342"/>
      <c r="T23" s="4"/>
      <c r="V23" s="4"/>
    </row>
    <row r="24" spans="1:23" ht="54" customHeight="1" thickBot="1" x14ac:dyDescent="0.3">
      <c r="A24" s="1362" t="s">
        <v>495</v>
      </c>
      <c r="B24" s="37"/>
      <c r="C24" s="295" t="s">
        <v>300</v>
      </c>
      <c r="D24" s="239" t="s">
        <v>49</v>
      </c>
      <c r="E24" s="607"/>
      <c r="F24" s="296"/>
      <c r="G24" s="1269"/>
      <c r="H24" s="1270"/>
      <c r="I24" s="355" t="s">
        <v>475</v>
      </c>
      <c r="J24" s="269"/>
      <c r="K24" s="387">
        <f>IF(D24="Y",J24*E24,"")</f>
        <v>0</v>
      </c>
      <c r="L24" s="248" t="str">
        <f>IFERROR(IF(D24="Y",K24/$K$53,0%),"0.0%")</f>
        <v>0.0%</v>
      </c>
      <c r="M24" s="139" t="s">
        <v>56</v>
      </c>
      <c r="Q24" s="4"/>
      <c r="R24" s="4"/>
      <c r="S24" s="342"/>
      <c r="T24" s="4"/>
      <c r="V24" s="4"/>
      <c r="W24" s="1"/>
    </row>
    <row r="25" spans="1:23" ht="61.5" customHeight="1" thickBot="1" x14ac:dyDescent="0.3">
      <c r="A25" s="1363"/>
      <c r="B25" s="37"/>
      <c r="C25" s="295" t="s">
        <v>300</v>
      </c>
      <c r="D25" s="239" t="s">
        <v>49</v>
      </c>
      <c r="E25" s="607"/>
      <c r="F25" s="296"/>
      <c r="G25" s="1269"/>
      <c r="H25" s="1270"/>
      <c r="I25" s="355" t="s">
        <v>475</v>
      </c>
      <c r="J25" s="269"/>
      <c r="K25" s="387">
        <f>IF(D25="Y",J25*E25,"")</f>
        <v>0</v>
      </c>
      <c r="L25" s="248" t="str">
        <f>IFERROR(IF(D25="Y",K25/$K$53,0%),"0.0%")</f>
        <v>0.0%</v>
      </c>
      <c r="M25" s="139" t="s">
        <v>56</v>
      </c>
    </row>
    <row r="26" spans="1:23" ht="20.25" customHeight="1" thickBot="1" x14ac:dyDescent="0.3">
      <c r="A26" s="21" t="s">
        <v>53</v>
      </c>
      <c r="B26" s="112" t="str">
        <f>A24</f>
        <v>Special Treatments for Waste Rock Dump</v>
      </c>
      <c r="C26" s="23"/>
      <c r="D26" s="24"/>
      <c r="E26" s="25"/>
      <c r="F26" s="24"/>
      <c r="G26" s="24"/>
      <c r="H26" s="24"/>
      <c r="I26" s="26"/>
      <c r="J26" s="27"/>
      <c r="K26" s="28">
        <f>SUM(K24:K25)</f>
        <v>0</v>
      </c>
      <c r="L26" s="24"/>
      <c r="M26" s="29"/>
    </row>
    <row r="27" spans="1:23" ht="48.75" customHeight="1" thickBot="1" x14ac:dyDescent="0.3">
      <c r="A27" s="1132" t="s">
        <v>77</v>
      </c>
      <c r="B27" s="86" t="s">
        <v>78</v>
      </c>
      <c r="C27" s="259" t="str">
        <f>VLOOKUP($B27,Activities!$A$10:$P$152,3,FALSE)</f>
        <v xml:space="preserve">Consolidation of loose Stockpiles of Waste and/or Ore </v>
      </c>
      <c r="D27" s="239" t="s">
        <v>49</v>
      </c>
      <c r="E27" s="240"/>
      <c r="F27" s="246" t="str">
        <f>VLOOKUP($B27,Activities!$A$10:$P$152,4,FALSE)</f>
        <v>m3</v>
      </c>
      <c r="G27" s="1269"/>
      <c r="H27" s="1270"/>
      <c r="I27" s="272">
        <f>VLOOKUP($B27,Activities!$A$10:$S$152,16,FALSE)</f>
        <v>3.7418180963331782</v>
      </c>
      <c r="J27" s="269"/>
      <c r="K27" s="388">
        <f t="shared" ref="K27:K33" si="3">IF(D27="Y",IF(J27="",I27*E27,J27*E27),0)</f>
        <v>0</v>
      </c>
      <c r="L27" s="248" t="str">
        <f>IFERROR(IF(D27="Y",K27/$K$64,0%),"0.0%")</f>
        <v>0.0%</v>
      </c>
      <c r="M27" s="290" t="str">
        <f>VLOOKUP($B27,Activities!$A$10:$S$152,19,FALSE)</f>
        <v>This activity covers the removal of small stockpiles of waste rock, ROM ore and other stockpiles.  These are consolidated into one waste dump for rehabilitation.</v>
      </c>
    </row>
    <row r="28" spans="1:23" ht="59.25" customHeight="1" thickBot="1" x14ac:dyDescent="0.3">
      <c r="A28" s="1133"/>
      <c r="B28" s="86" t="s">
        <v>79</v>
      </c>
      <c r="C28" s="259" t="str">
        <f>VLOOKUP($B28,Activities!$A$10:$P$152,3,FALSE)</f>
        <v>Minor Shaping across a Dump or Disturbed Area</v>
      </c>
      <c r="D28" s="239" t="s">
        <v>49</v>
      </c>
      <c r="E28" s="240"/>
      <c r="F28" s="246" t="str">
        <f>VLOOKUP($B28,Activities!$A$10:$P$152,4,FALSE)</f>
        <v>Ha</v>
      </c>
      <c r="G28" s="1269"/>
      <c r="H28" s="1270"/>
      <c r="I28" s="272">
        <f>VLOOKUP($B28,Activities!$A$10:$S$152,16,FALSE)</f>
        <v>2987.2221197728068</v>
      </c>
      <c r="J28" s="269"/>
      <c r="K28" s="388">
        <f t="shared" si="3"/>
        <v>0</v>
      </c>
      <c r="L28" s="248" t="str">
        <f>IFERROR(IF(D28="Y",K28/$K$64,0%),"0.0%")</f>
        <v>0.0%</v>
      </c>
      <c r="M28" s="290" t="str">
        <f>VLOOKUP($B28,Activities!$A$10:$S$152,19,FALSE)</f>
        <v xml:space="preserve">This activity covers minor shaping shifting pushing across a dump or disturbed area.  It is based on a rate per hectare.  It covers area where there needs to be some clearing work, tidying up of disturbed ground,  but not just bulk pushing </v>
      </c>
      <c r="P28" s="47"/>
      <c r="Q28" s="47"/>
      <c r="R28" s="47"/>
      <c r="S28" s="47"/>
    </row>
    <row r="29" spans="1:23" ht="63.75" customHeight="1" thickBot="1" x14ac:dyDescent="0.3">
      <c r="A29" s="1133"/>
      <c r="B29" s="102" t="s">
        <v>13</v>
      </c>
      <c r="C29" s="259" t="str">
        <f>VLOOKUP($B29,Activities!$A$10:$P$152,3,FALSE)</f>
        <v>Major Bulk Pushing/Dozing to achieve Final Land Forms</v>
      </c>
      <c r="D29" s="239" t="s">
        <v>49</v>
      </c>
      <c r="E29" s="240"/>
      <c r="F29" s="246" t="str">
        <f>VLOOKUP($B29,Activities!$A$10:$P$152,4,FALSE)</f>
        <v>m3</v>
      </c>
      <c r="G29" s="1269"/>
      <c r="H29" s="1270"/>
      <c r="I29" s="272">
        <f>VLOOKUP($B29,Activities!$A$10:$S$152,16,FALSE)</f>
        <v>0.96390609627070267</v>
      </c>
      <c r="J29" s="269"/>
      <c r="K29" s="388">
        <f t="shared" si="3"/>
        <v>0</v>
      </c>
      <c r="L29" s="248" t="str">
        <f>IFERROR(IF(D29="Y",K29/$K$64,0%),"0.0%")</f>
        <v>0.0%</v>
      </c>
      <c r="M29" s="290" t="str">
        <f>VLOOKUP($B29,Activities!$A$10:$S$152,19,FALSE)</f>
        <v>This unit cost covers the use of a dozer to push material within reasonable confines to achieve a Final Land Form.  It is often undertaken prior to covering a tailing storage facility</v>
      </c>
      <c r="O29" s="47"/>
      <c r="P29" s="47"/>
      <c r="Q29" s="47"/>
      <c r="R29" s="47"/>
      <c r="S29" s="47"/>
    </row>
    <row r="30" spans="1:23" ht="56.25" customHeight="1" thickBot="1" x14ac:dyDescent="0.3">
      <c r="A30" s="1133"/>
      <c r="B30" s="102" t="s">
        <v>17</v>
      </c>
      <c r="C30" s="259" t="str">
        <f>VLOOKUP($B30,Activities!$A$10:$P$152,3,FALSE)</f>
        <v xml:space="preserve">Excavation of earthen materials from local borrow pits, plus haulage </v>
      </c>
      <c r="D30" s="239" t="s">
        <v>49</v>
      </c>
      <c r="E30" s="242"/>
      <c r="F30" s="19" t="s">
        <v>15</v>
      </c>
      <c r="G30" s="313" t="s">
        <v>51</v>
      </c>
      <c r="H30" s="167" t="s">
        <v>264</v>
      </c>
      <c r="I30" s="350">
        <f>VLOOKUP(H30,U3:V7,2)</f>
        <v>0</v>
      </c>
      <c r="J30" s="269"/>
      <c r="K30" s="388">
        <f t="shared" si="3"/>
        <v>0</v>
      </c>
      <c r="L30" s="248" t="str">
        <f>IFERROR(IF(D30="Y",K30/$K$53,0%),"0.0%")</f>
        <v>0.0%</v>
      </c>
      <c r="M30" s="290" t="str">
        <f>VLOOKUP($B30,Activities!$A$10:$S$152,19,FALSE)</f>
        <v>This activity involves the excavation of earthern material from a local borrow pit and the loading of that material into a truck.  Haulage cost based on distance hauled.</v>
      </c>
      <c r="O30" s="47"/>
    </row>
    <row r="31" spans="1:23" ht="53.25" customHeight="1" thickBot="1" x14ac:dyDescent="0.3">
      <c r="A31" s="1133"/>
      <c r="B31" s="102" t="s">
        <v>18</v>
      </c>
      <c r="C31" s="259" t="str">
        <f>VLOOKUP($B31,Activities!$A$10:$P$152,3,FALSE)</f>
        <v>Spreading Materials on ground or an open area excluding compaction (&gt;1,000m3)</v>
      </c>
      <c r="D31" s="239" t="s">
        <v>49</v>
      </c>
      <c r="E31" s="240"/>
      <c r="F31" s="246" t="str">
        <f>VLOOKUP($B31,Activities!$A$10:$P$152,4,FALSE)</f>
        <v>m3</v>
      </c>
      <c r="G31" s="1269"/>
      <c r="H31" s="1270"/>
      <c r="I31" s="272">
        <f>VLOOKUP($B31,Activities!$A$10:$S$152,16,FALSE)</f>
        <v>1.0890037105820705</v>
      </c>
      <c r="J31" s="269"/>
      <c r="K31" s="388">
        <f t="shared" si="3"/>
        <v>0</v>
      </c>
      <c r="L31" s="248" t="str">
        <f>IFERROR(IF(D31="Y",K31/$K$64,0%),"0.0%")</f>
        <v>0.0%</v>
      </c>
      <c r="M31" s="290" t="str">
        <f>VLOOKUP($B31,Activities!$A$10:$S$152,19,FALSE)</f>
        <v xml:space="preserve">This activity involves the spreading of material that has been transported and dumped at the work area. </v>
      </c>
    </row>
    <row r="32" spans="1:23" ht="61.5" customHeight="1" thickBot="1" x14ac:dyDescent="0.3">
      <c r="A32" s="1133"/>
      <c r="B32" s="86" t="s">
        <v>80</v>
      </c>
      <c r="C32" s="259" t="str">
        <f>VLOOKUP($B32,Activities!$A$10:$P$152,3,FALSE)</f>
        <v>Construction of Water Run-off Management Structures and/or Dams</v>
      </c>
      <c r="D32" s="239" t="s">
        <v>49</v>
      </c>
      <c r="E32" s="240"/>
      <c r="F32" s="246" t="str">
        <f>VLOOKUP($B32,Activities!$A$10:$P$152,4,FALSE)</f>
        <v>Ha</v>
      </c>
      <c r="G32" s="1269"/>
      <c r="H32" s="1270"/>
      <c r="I32" s="272">
        <f>VLOOKUP($B32,Activities!$A$10:$S$152,16,FALSE)</f>
        <v>7806.9613461745139</v>
      </c>
      <c r="J32" s="269"/>
      <c r="K32" s="388">
        <f t="shared" si="3"/>
        <v>0</v>
      </c>
      <c r="L32" s="248" t="str">
        <f>IFERROR(IF(D32="Y",K32/$K$64,0%),"0.0%")</f>
        <v>0.0%</v>
      </c>
      <c r="M32" s="290" t="str">
        <f>VLOOKUP($B32,Activities!$A$10:$S$152,19,FALSE)</f>
        <v>This activity is a general activity and it involves shaping of critical areas, the construction of minor water management drains, rock lining of the drains, dams and diversion channels to manage water run-off from the area. It is based on a rate per hectare (based only on the hectares associated with the run-off management) and includes channel excavation, rock lining and minor dam construction.  (Operator may prefer to better define this activity)</v>
      </c>
    </row>
    <row r="33" spans="1:13" ht="51.75" customHeight="1" thickBot="1" x14ac:dyDescent="0.3">
      <c r="A33" s="1133"/>
      <c r="B33" s="86" t="s">
        <v>81</v>
      </c>
      <c r="C33" s="259" t="str">
        <f>VLOOKUP($B33,Activities!$A$10:$P$152,3,FALSE)</f>
        <v>Construction of Berm or Barrier to prevent Access</v>
      </c>
      <c r="D33" s="239" t="s">
        <v>49</v>
      </c>
      <c r="E33" s="240"/>
      <c r="F33" s="246" t="str">
        <f>VLOOKUP($B33,Activities!$A$10:$P$152,4,FALSE)</f>
        <v>Lin m</v>
      </c>
      <c r="G33" s="1269"/>
      <c r="H33" s="1270"/>
      <c r="I33" s="272">
        <f>VLOOKUP($B33,Activities!$A$10:$S$152,16,FALSE)</f>
        <v>56.743935369018423</v>
      </c>
      <c r="J33" s="269"/>
      <c r="K33" s="388">
        <f t="shared" si="3"/>
        <v>0</v>
      </c>
      <c r="L33" s="248" t="str">
        <f>IFERROR(IF(D33="Y",K33/$K$64,0%),"0.0%")</f>
        <v>0.0%</v>
      </c>
      <c r="M33" s="290" t="str">
        <f>VLOOKUP($B33,Activities!$A$10:$S$152,19,FALSE)</f>
        <v>The activity covers the construction of a Berm or Barrier to prevent access.  The Barrier is designed to prevent vehicular access and is a significant size to do this.</v>
      </c>
    </row>
    <row r="34" spans="1:13" ht="22.5" customHeight="1" thickBot="1" x14ac:dyDescent="0.3">
      <c r="A34" s="21" t="s">
        <v>53</v>
      </c>
      <c r="B34" s="112" t="str">
        <f>A27</f>
        <v>Primary Earthworks and Shaping of the Dump</v>
      </c>
      <c r="C34" s="23"/>
      <c r="D34" s="24"/>
      <c r="E34" s="25"/>
      <c r="F34" s="24"/>
      <c r="G34" s="24"/>
      <c r="H34" s="24"/>
      <c r="I34" s="26"/>
      <c r="J34" s="27"/>
      <c r="K34" s="28">
        <f>SUM(K27:K33)</f>
        <v>0</v>
      </c>
      <c r="L34" s="24"/>
      <c r="M34" s="29"/>
    </row>
    <row r="35" spans="1:13" ht="48" customHeight="1" thickBot="1" x14ac:dyDescent="0.3">
      <c r="A35" s="1132" t="s">
        <v>496</v>
      </c>
      <c r="B35" s="102" t="s">
        <v>70</v>
      </c>
      <c r="C35" s="259" t="str">
        <f>VLOOKUP($B35,Activities!$A$10:$P$152,3,FALSE)</f>
        <v>Sourcing, Carting and Spreading of Topsoil over an Area</v>
      </c>
      <c r="D35" s="239" t="s">
        <v>49</v>
      </c>
      <c r="E35" s="346"/>
      <c r="F35" s="19" t="s">
        <v>15</v>
      </c>
      <c r="G35" s="313" t="s">
        <v>51</v>
      </c>
      <c r="H35" s="167" t="s">
        <v>264</v>
      </c>
      <c r="I35" s="350">
        <f>VLOOKUP(H35,U11:V15,2)</f>
        <v>0</v>
      </c>
      <c r="J35" s="269"/>
      <c r="K35" s="387">
        <f>IF(D35="Y",IF(J35="",I35*E35,J35*E35),"")</f>
        <v>0</v>
      </c>
      <c r="L35" s="248" t="str">
        <f>IFERROR(IF(D35="Y",K35/$K$53,0%),"0.0%")</f>
        <v>0.0%</v>
      </c>
      <c r="M35" s="290" t="str">
        <f>VLOOKUP($B35,Activities!$A$10:$S$152,19,FALSE)</f>
        <v>This activity covers the sourcing of topsoil or suitable growth medium, transporting from the source to the required area and then spreading it over that area.</v>
      </c>
    </row>
    <row r="36" spans="1:13" ht="55.5" customHeight="1" thickBot="1" x14ac:dyDescent="0.3">
      <c r="A36" s="1133"/>
      <c r="B36" s="102" t="s">
        <v>21</v>
      </c>
      <c r="C36" s="259" t="str">
        <f>VLOOKUP($B36,Activities!$A$10:$P$152,3,FALSE)</f>
        <v>Scarification to promote vegetation growth</v>
      </c>
      <c r="D36" s="239" t="s">
        <v>49</v>
      </c>
      <c r="E36" s="240"/>
      <c r="F36" s="246" t="str">
        <f>VLOOKUP($B36,Activities!$A$10:$P$152,4,FALSE)</f>
        <v>Ha</v>
      </c>
      <c r="G36" s="1269"/>
      <c r="H36" s="1270"/>
      <c r="I36" s="272">
        <f>VLOOKUP($B36,Activities!$A$10:$S$152,16,FALSE)</f>
        <v>323.54530924221694</v>
      </c>
      <c r="J36" s="269"/>
      <c r="K36" s="388">
        <f t="shared" ref="K36:K46" si="4">IF(D36="Y",IF(J36="",I36*E36,J36*E36),0)</f>
        <v>0</v>
      </c>
      <c r="L36" s="248" t="str">
        <f>IFERROR(IF(D36="Y",K36/$K$64,0%),"0.0%")</f>
        <v>0.0%</v>
      </c>
      <c r="M36" s="290" t="str">
        <f>VLOOKUP($B36,Activities!$A$10:$S$152,19,FALSE)</f>
        <v xml:space="preserve">This activity is undertaken in preparation for the seeding of a particular area.  </v>
      </c>
    </row>
    <row r="37" spans="1:13" ht="42.75" customHeight="1" thickBot="1" x14ac:dyDescent="0.3">
      <c r="A37" s="1133"/>
      <c r="B37" s="245" t="s">
        <v>626</v>
      </c>
      <c r="C37" s="259" t="str">
        <f>VLOOKUP($B37,Activities!$A$10:$P$152,3,FALSE)</f>
        <v>Purchase and single application of ground ameliorants (e.g. gypsum)</v>
      </c>
      <c r="D37" s="239" t="s">
        <v>49</v>
      </c>
      <c r="E37" s="320"/>
      <c r="F37" s="246" t="str">
        <f>VLOOKUP($B37,Activities!$A$10:$P$152,4,FALSE)</f>
        <v>Ha</v>
      </c>
      <c r="G37" s="1269"/>
      <c r="H37" s="1270"/>
      <c r="I37" s="273">
        <f>VLOOKUP($B37,Activities!$A$10:$S$152,16,FALSE)</f>
        <v>877.38983538153695</v>
      </c>
      <c r="J37" s="269"/>
      <c r="K37" s="388">
        <f t="shared" si="4"/>
        <v>0</v>
      </c>
      <c r="L37" s="248" t="str">
        <f t="shared" ref="L37:L45" si="5">IFERROR(IF(D37="Y",K37/$K$55,0%),"0.0%")</f>
        <v>0.0%</v>
      </c>
      <c r="M37" s="290" t="str">
        <f>VLOOKUP($B37,Activities!$A$10:$S$152,19,FALSE)</f>
        <v>This Activity includes the purchase and single application of ground ameliorants (e.g. gypsum).</v>
      </c>
    </row>
    <row r="38" spans="1:13" ht="42.75" customHeight="1" thickBot="1" x14ac:dyDescent="0.3">
      <c r="A38" s="1133"/>
      <c r="B38" s="245" t="s">
        <v>627</v>
      </c>
      <c r="C38" s="259" t="str">
        <f>VLOOKUP($B38,Activities!$A$10:$P$152,3,FALSE)</f>
        <v>The purchase only of non-native pasture grasses</v>
      </c>
      <c r="D38" s="239" t="s">
        <v>49</v>
      </c>
      <c r="E38" s="320"/>
      <c r="F38" s="246" t="str">
        <f>VLOOKUP($B38,Activities!$A$10:$P$152,4,FALSE)</f>
        <v>Ha</v>
      </c>
      <c r="G38" s="1269"/>
      <c r="H38" s="1270"/>
      <c r="I38" s="273">
        <f>VLOOKUP($B38,Activities!$A$10:$S$152,16,FALSE)</f>
        <v>1774.5180283018869</v>
      </c>
      <c r="J38" s="269"/>
      <c r="K38" s="388">
        <f t="shared" si="4"/>
        <v>0</v>
      </c>
      <c r="L38" s="248" t="str">
        <f t="shared" si="5"/>
        <v>0.0%</v>
      </c>
      <c r="M38" s="290" t="str">
        <f>VLOOKUP($B38,Activities!$A$10:$S$152,19,FALSE)</f>
        <v>This activity covers the purchase of non-native pasture grasses</v>
      </c>
    </row>
    <row r="39" spans="1:13" ht="42.75" customHeight="1" thickBot="1" x14ac:dyDescent="0.3">
      <c r="A39" s="1133"/>
      <c r="B39" s="245" t="s">
        <v>628</v>
      </c>
      <c r="C39" s="259" t="str">
        <f>VLOOKUP($B39,Activities!$A$10:$P$152,3,FALSE)</f>
        <v>The purchase only of general native seed mix</v>
      </c>
      <c r="D39" s="239" t="s">
        <v>49</v>
      </c>
      <c r="E39" s="320"/>
      <c r="F39" s="246" t="str">
        <f>VLOOKUP($B39,Activities!$A$10:$P$152,4,FALSE)</f>
        <v>Ha</v>
      </c>
      <c r="G39" s="1269"/>
      <c r="H39" s="1270"/>
      <c r="I39" s="273">
        <f>VLOOKUP($B39,Activities!$A$10:$S$152,16,FALSE)</f>
        <v>3439.8717452830197</v>
      </c>
      <c r="J39" s="269"/>
      <c r="K39" s="388">
        <f t="shared" si="4"/>
        <v>0</v>
      </c>
      <c r="L39" s="248" t="str">
        <f t="shared" si="5"/>
        <v>0.0%</v>
      </c>
      <c r="M39" s="290" t="str">
        <f>VLOOKUP($B39,Activities!$A$10:$S$152,19,FALSE)</f>
        <v>This activity covers the purchase of general native seed mix</v>
      </c>
    </row>
    <row r="40" spans="1:13" ht="42.75" customHeight="1" thickBot="1" x14ac:dyDescent="0.3">
      <c r="A40" s="1133"/>
      <c r="B40" s="245" t="s">
        <v>629</v>
      </c>
      <c r="C40" s="259" t="str">
        <f>VLOOKUP($B40,Activities!$A$10:$P$152,3,FALSE)</f>
        <v>The purchase only of local provenance native seed mix</v>
      </c>
      <c r="D40" s="239" t="s">
        <v>49</v>
      </c>
      <c r="E40" s="320"/>
      <c r="F40" s="246" t="str">
        <f>VLOOKUP($B40,Activities!$A$10:$P$152,4,FALSE)</f>
        <v>Ha</v>
      </c>
      <c r="G40" s="1269"/>
      <c r="H40" s="1270"/>
      <c r="I40" s="273">
        <f>VLOOKUP($B40,Activities!$A$10:$S$152,16,FALSE)</f>
        <v>10525.680933962265</v>
      </c>
      <c r="J40" s="269"/>
      <c r="K40" s="388">
        <f t="shared" si="4"/>
        <v>0</v>
      </c>
      <c r="L40" s="248" t="str">
        <f t="shared" si="5"/>
        <v>0.0%</v>
      </c>
      <c r="M40" s="290" t="str">
        <f>VLOOKUP($B40,Activities!$A$10:$S$152,19,FALSE)</f>
        <v>This activity covers the purchase of local provenance native seed mix</v>
      </c>
    </row>
    <row r="41" spans="1:13" ht="42.75" customHeight="1" thickBot="1" x14ac:dyDescent="0.3">
      <c r="A41" s="1133"/>
      <c r="B41" s="245" t="s">
        <v>630</v>
      </c>
      <c r="C41" s="259" t="str">
        <f>VLOOKUP($B41,Activities!$A$10:$P$152,3,FALSE)</f>
        <v>The purchase only of fertiliser for broadcast application</v>
      </c>
      <c r="D41" s="239" t="s">
        <v>49</v>
      </c>
      <c r="E41" s="320"/>
      <c r="F41" s="246" t="str">
        <f>VLOOKUP($B41,Activities!$A$10:$P$152,4,FALSE)</f>
        <v>Ha</v>
      </c>
      <c r="G41" s="1269"/>
      <c r="H41" s="1270"/>
      <c r="I41" s="273">
        <f>VLOOKUP($B41,Activities!$A$10:$S$152,16,FALSE)</f>
        <v>613.30500000000006</v>
      </c>
      <c r="J41" s="269"/>
      <c r="K41" s="388">
        <f t="shared" si="4"/>
        <v>0</v>
      </c>
      <c r="L41" s="248" t="str">
        <f t="shared" si="5"/>
        <v>0.0%</v>
      </c>
      <c r="M41" s="290" t="str">
        <f>VLOOKUP($B41,Activities!$A$10:$S$152,19,FALSE)</f>
        <v>This activity covers the purchase of local fertiliser for broadcast application.  It does not inlcude the application.</v>
      </c>
    </row>
    <row r="42" spans="1:13" ht="42.75" customHeight="1" thickBot="1" x14ac:dyDescent="0.3">
      <c r="A42" s="1133"/>
      <c r="B42" s="245" t="s">
        <v>631</v>
      </c>
      <c r="C42" s="259" t="str">
        <f>VLOOKUP($B42,Activities!$A$10:$P$152,3,FALSE)</f>
        <v>The purchase of native tubestock (including slow release fertiliser)</v>
      </c>
      <c r="D42" s="239" t="s">
        <v>49</v>
      </c>
      <c r="E42" s="320"/>
      <c r="F42" s="246" t="str">
        <f>VLOOKUP($B42,Activities!$A$10:$P$152,4,FALSE)</f>
        <v>Ha</v>
      </c>
      <c r="G42" s="1269"/>
      <c r="H42" s="1270"/>
      <c r="I42" s="273">
        <f>VLOOKUP($B42,Activities!$A$10:$S$152,16,FALSE)</f>
        <v>19729.952830188682</v>
      </c>
      <c r="J42" s="269"/>
      <c r="K42" s="388">
        <f t="shared" si="4"/>
        <v>0</v>
      </c>
      <c r="L42" s="248" t="str">
        <f t="shared" si="5"/>
        <v>0.0%</v>
      </c>
      <c r="M42" s="290" t="str">
        <f>VLOOKUP($B42,Activities!$A$10:$S$152,19,FALSE)</f>
        <v>The Activity includes the purchase of native tubestock (including slow release fertiliser).  It does not include planting.</v>
      </c>
    </row>
    <row r="43" spans="1:13" ht="42.75" customHeight="1" thickBot="1" x14ac:dyDescent="0.3">
      <c r="A43" s="1133"/>
      <c r="B43" s="245" t="s">
        <v>632</v>
      </c>
      <c r="C43" s="259" t="str">
        <f>VLOOKUP($B43,Activities!$A$10:$P$152,3,FALSE)</f>
        <v>Direct seeding along rip line or mechanical broadcast seeding</v>
      </c>
      <c r="D43" s="239" t="s">
        <v>49</v>
      </c>
      <c r="E43" s="320"/>
      <c r="F43" s="246" t="str">
        <f>VLOOKUP($B43,Activities!$A$10:$P$152,4,FALSE)</f>
        <v>Ha</v>
      </c>
      <c r="G43" s="1269"/>
      <c r="H43" s="1270"/>
      <c r="I43" s="273">
        <f>VLOOKUP($B43,Activities!$A$10:$S$152,16,FALSE)</f>
        <v>2100.7838269402318</v>
      </c>
      <c r="J43" s="269"/>
      <c r="K43" s="388">
        <f t="shared" si="4"/>
        <v>0</v>
      </c>
      <c r="L43" s="248" t="str">
        <f t="shared" si="5"/>
        <v>0.0%</v>
      </c>
      <c r="M43" s="290" t="str">
        <f>VLOOKUP($B43,Activities!$A$10:$S$152,19,FALSE)</f>
        <v>Sowing of separately purchased seed and or fertiliser for broadcast application that involves scattering seed, by hand or mechanically, over a relatively large area.</v>
      </c>
    </row>
    <row r="44" spans="1:13" ht="42.75" customHeight="1" thickBot="1" x14ac:dyDescent="0.3">
      <c r="A44" s="1133"/>
      <c r="B44" s="245" t="s">
        <v>633</v>
      </c>
      <c r="C44" s="259" t="str">
        <f>VLOOKUP($B44,Activities!$A$10:$P$152,3,FALSE)</f>
        <v>Hydromulching (does not include seed or fertiliser)</v>
      </c>
      <c r="D44" s="239" t="s">
        <v>49</v>
      </c>
      <c r="E44" s="240"/>
      <c r="F44" s="246" t="str">
        <f>VLOOKUP($B44,Activities!$A$10:$P$152,4,FALSE)</f>
        <v>Ha</v>
      </c>
      <c r="G44" s="1269"/>
      <c r="H44" s="1270"/>
      <c r="I44" s="273">
        <f>VLOOKUP($B44,Activities!$A$10:$S$152,16,FALSE)</f>
        <v>1583.2664818030244</v>
      </c>
      <c r="J44" s="269"/>
      <c r="K44" s="388">
        <f t="shared" si="4"/>
        <v>0</v>
      </c>
      <c r="L44" s="248" t="str">
        <f t="shared" si="5"/>
        <v>0.0%</v>
      </c>
      <c r="M44" s="290" t="str">
        <f>VLOOKUP($B44,Activities!$A$10:$S$152,19,FALSE)</f>
        <v>Hydromulching planting process that uses a slurry of seed and mulch. It is often used as an erosion control technique as an alternative to the traditional process of broadcasting or sowing dry seed.</v>
      </c>
    </row>
    <row r="45" spans="1:13" ht="42.75" customHeight="1" thickBot="1" x14ac:dyDescent="0.3">
      <c r="A45" s="1133"/>
      <c r="B45" s="245" t="s">
        <v>717</v>
      </c>
      <c r="C45" s="259" t="str">
        <f>VLOOKUP($B45,Activities!$A$10:$P$152,3,FALSE)</f>
        <v>Planting of tubestock &lt;15cm (assumes 1,000 plants per hectare)</v>
      </c>
      <c r="D45" s="239" t="s">
        <v>49</v>
      </c>
      <c r="E45" s="240"/>
      <c r="F45" s="246" t="str">
        <f>VLOOKUP($B45,Activities!$A$10:$P$152,4,FALSE)</f>
        <v>Ha</v>
      </c>
      <c r="G45" s="1269"/>
      <c r="H45" s="1270"/>
      <c r="I45" s="273">
        <f>VLOOKUP($B45,Activities!$A$10:$S$152,16,FALSE)</f>
        <v>1714.118869047619</v>
      </c>
      <c r="J45" s="269"/>
      <c r="K45" s="388">
        <f t="shared" si="4"/>
        <v>0</v>
      </c>
      <c r="L45" s="248" t="str">
        <f t="shared" si="5"/>
        <v>0.0%</v>
      </c>
      <c r="M45" s="290" t="str">
        <f>VLOOKUP($B45,Activities!$A$10:$S$152,19,FALSE)</f>
        <v>This Activity covers the hand planting of tubestock plants across a broad area.</v>
      </c>
    </row>
    <row r="46" spans="1:13" ht="60.75" thickBot="1" x14ac:dyDescent="0.3">
      <c r="A46" s="1134"/>
      <c r="B46" s="258" t="s">
        <v>25</v>
      </c>
      <c r="C46" s="259" t="str">
        <f>VLOOKUP($B46,Activities!$A$10:$P$152,3,FALSE)</f>
        <v xml:space="preserve">Construction of a stock proof fence including appropriate gates </v>
      </c>
      <c r="D46" s="239" t="s">
        <v>49</v>
      </c>
      <c r="E46" s="240"/>
      <c r="F46" s="246" t="str">
        <f>VLOOKUP($B46,Activities!$A$10:$P$152,4,FALSE)</f>
        <v>km</v>
      </c>
      <c r="G46" s="1269"/>
      <c r="H46" s="1270"/>
      <c r="I46" s="272">
        <f>VLOOKUP($B46,Activities!$A$10:$S$152,16,FALSE)</f>
        <v>13302.992584007126</v>
      </c>
      <c r="J46" s="269"/>
      <c r="K46" s="388">
        <f t="shared" si="4"/>
        <v>0</v>
      </c>
      <c r="L46" s="248" t="str">
        <f>IFERROR(IF(D46="Y",K46/$K$64,0%),"0.0%")</f>
        <v>0.0%</v>
      </c>
      <c r="M46" s="290" t="str">
        <f>VLOOKUP($B46,Activities!$A$10:$S$152,19,FALSE)</f>
        <v>This activity involves the construction of a stock proof fence to protect revegetation against stock and to provide an obstacle to persons to prevent inadvertant access.  It is not designed to prevent a person climbing over it.  It includes an allowance for gates.</v>
      </c>
    </row>
    <row r="47" spans="1:13" ht="15.75" thickBot="1" x14ac:dyDescent="0.3">
      <c r="A47" s="21" t="s">
        <v>53</v>
      </c>
      <c r="B47" s="112" t="str">
        <f>A35</f>
        <v>Topsoil Preparation and Revegetation of Waste Dump Area</v>
      </c>
      <c r="C47" s="23"/>
      <c r="D47" s="24"/>
      <c r="E47" s="25"/>
      <c r="F47" s="24"/>
      <c r="G47" s="24"/>
      <c r="H47" s="24"/>
      <c r="I47" s="26"/>
      <c r="J47" s="27"/>
      <c r="K47" s="28">
        <f>SUM(K35:K46)</f>
        <v>0</v>
      </c>
      <c r="L47" s="24"/>
      <c r="M47" s="29"/>
    </row>
    <row r="48" spans="1:13" ht="46.5" customHeight="1" thickBot="1" x14ac:dyDescent="0.3">
      <c r="A48" s="1361" t="s">
        <v>75</v>
      </c>
      <c r="B48" s="37"/>
      <c r="C48" s="218" t="s">
        <v>55</v>
      </c>
      <c r="D48" s="239" t="s">
        <v>49</v>
      </c>
      <c r="E48" s="346"/>
      <c r="F48" s="296"/>
      <c r="G48" s="1269"/>
      <c r="H48" s="1270"/>
      <c r="I48" s="355" t="s">
        <v>475</v>
      </c>
      <c r="J48" s="269"/>
      <c r="K48" s="387">
        <f>IF(D48="Y",J48*E48,"")</f>
        <v>0</v>
      </c>
      <c r="L48" s="248" t="str">
        <f>IFERROR(IF(D48="Y",K48/$K$53,0%),"0.0%")</f>
        <v>0.0%</v>
      </c>
      <c r="M48" s="139" t="s">
        <v>56</v>
      </c>
    </row>
    <row r="49" spans="1:13" ht="46.5" customHeight="1" thickBot="1" x14ac:dyDescent="0.3">
      <c r="A49" s="1361"/>
      <c r="B49" s="37"/>
      <c r="C49" s="218" t="s">
        <v>55</v>
      </c>
      <c r="D49" s="239" t="s">
        <v>49</v>
      </c>
      <c r="E49" s="346"/>
      <c r="F49" s="296"/>
      <c r="G49" s="1269"/>
      <c r="H49" s="1270"/>
      <c r="I49" s="355" t="s">
        <v>475</v>
      </c>
      <c r="J49" s="269"/>
      <c r="K49" s="387">
        <f>IF(D49="Y",J49*E49,"")</f>
        <v>0</v>
      </c>
      <c r="L49" s="248" t="str">
        <f>IFERROR(IF(D49="Y",K49/$K$53,0%),"0.0%")</f>
        <v>0.0%</v>
      </c>
      <c r="M49" s="139" t="s">
        <v>56</v>
      </c>
    </row>
    <row r="50" spans="1:13" ht="46.5" customHeight="1" thickBot="1" x14ac:dyDescent="0.3">
      <c r="A50" s="1361"/>
      <c r="B50" s="37"/>
      <c r="C50" s="218" t="s">
        <v>55</v>
      </c>
      <c r="D50" s="239" t="s">
        <v>49</v>
      </c>
      <c r="E50" s="346"/>
      <c r="F50" s="296"/>
      <c r="G50" s="1269"/>
      <c r="H50" s="1270"/>
      <c r="I50" s="355" t="s">
        <v>475</v>
      </c>
      <c r="J50" s="269"/>
      <c r="K50" s="387">
        <f>IF(D50="Y",J50*E50,"")</f>
        <v>0</v>
      </c>
      <c r="L50" s="248" t="str">
        <f>IFERROR(IF(D50="Y",K50/$K$53,0%),"0.0%")</f>
        <v>0.0%</v>
      </c>
      <c r="M50" s="139" t="s">
        <v>56</v>
      </c>
    </row>
    <row r="51" spans="1:13" ht="15.75" thickBot="1" x14ac:dyDescent="0.3">
      <c r="A51" s="21" t="s">
        <v>53</v>
      </c>
      <c r="B51" s="112" t="str">
        <f>A48</f>
        <v>Other Activity in Waste Dump Area</v>
      </c>
      <c r="C51" s="23"/>
      <c r="D51" s="24"/>
      <c r="E51" s="25"/>
      <c r="F51" s="24"/>
      <c r="G51" s="24"/>
      <c r="H51" s="24"/>
      <c r="I51" s="26"/>
      <c r="J51" s="27"/>
      <c r="K51" s="28">
        <f>SUM(K48:K50)</f>
        <v>0</v>
      </c>
      <c r="L51" s="24"/>
      <c r="M51" s="29"/>
    </row>
    <row r="52" spans="1:13" x14ac:dyDescent="0.25">
      <c r="A52" s="3"/>
      <c r="B52" s="3"/>
      <c r="C52" s="30"/>
      <c r="D52" s="9"/>
      <c r="E52" s="31"/>
      <c r="F52" s="9"/>
      <c r="G52" s="9"/>
      <c r="H52" s="9"/>
      <c r="I52" s="32"/>
      <c r="J52" s="2"/>
      <c r="K52" s="77"/>
      <c r="L52" s="9"/>
      <c r="M52" s="30"/>
    </row>
    <row r="53" spans="1:13" ht="21" x14ac:dyDescent="0.25">
      <c r="A53" s="3"/>
      <c r="B53" s="3"/>
      <c r="C53" s="30"/>
      <c r="D53" s="9"/>
      <c r="E53" s="31"/>
      <c r="F53" s="9"/>
      <c r="G53" s="9"/>
      <c r="H53" s="9"/>
      <c r="J53" s="34" t="s">
        <v>925</v>
      </c>
      <c r="K53" s="35">
        <f>K51+K47+K34+K26+K23</f>
        <v>0</v>
      </c>
      <c r="L53" s="9"/>
      <c r="M53" s="30"/>
    </row>
    <row r="54" spans="1:13" x14ac:dyDescent="0.25">
      <c r="A54" s="3"/>
      <c r="B54" s="3"/>
      <c r="C54" s="30"/>
      <c r="D54" s="9"/>
      <c r="E54" s="31"/>
      <c r="F54" s="9"/>
      <c r="G54" s="9"/>
      <c r="H54" s="9"/>
      <c r="I54" s="32"/>
      <c r="J54" s="2"/>
      <c r="K54" s="77"/>
      <c r="L54" s="9"/>
      <c r="M54" s="30"/>
    </row>
    <row r="55" spans="1:13" x14ac:dyDescent="0.25">
      <c r="A55" s="3"/>
      <c r="B55" s="3"/>
      <c r="C55" s="30"/>
      <c r="D55" s="9"/>
      <c r="E55" s="31"/>
      <c r="F55" s="9"/>
      <c r="G55" s="9"/>
      <c r="H55" s="9"/>
      <c r="I55" s="32"/>
      <c r="J55" s="2"/>
      <c r="K55" s="77"/>
      <c r="L55" s="9"/>
      <c r="M55" s="30"/>
    </row>
    <row r="56" spans="1:13" x14ac:dyDescent="0.25">
      <c r="A56" s="3"/>
      <c r="B56" s="3"/>
      <c r="C56" s="30"/>
      <c r="D56" s="9"/>
      <c r="E56" s="9"/>
      <c r="F56" s="9"/>
      <c r="G56" s="9"/>
      <c r="H56" s="9"/>
      <c r="I56" s="32"/>
      <c r="J56" s="2"/>
      <c r="K56" s="77"/>
      <c r="L56" s="9"/>
      <c r="M56" s="30"/>
    </row>
    <row r="57" spans="1:13" x14ac:dyDescent="0.25">
      <c r="A57" s="3"/>
      <c r="B57" s="3"/>
      <c r="C57" s="30"/>
      <c r="D57" s="9"/>
      <c r="E57" s="9"/>
      <c r="F57" s="9"/>
      <c r="G57" s="9"/>
      <c r="H57" s="9"/>
      <c r="I57" s="32"/>
      <c r="J57" s="2"/>
      <c r="K57" s="77"/>
      <c r="L57" s="9"/>
      <c r="M57" s="30"/>
    </row>
    <row r="58" spans="1:13" x14ac:dyDescent="0.25">
      <c r="C58" s="30"/>
      <c r="D58" s="9"/>
      <c r="E58" s="9"/>
      <c r="F58" s="9"/>
      <c r="G58" s="9"/>
      <c r="H58" s="9"/>
      <c r="I58" s="32"/>
      <c r="J58" s="2"/>
      <c r="K58" s="9"/>
      <c r="L58" s="9"/>
      <c r="M58" s="30"/>
    </row>
    <row r="59" spans="1:13" x14ac:dyDescent="0.25">
      <c r="C59" s="30"/>
      <c r="D59" s="9"/>
      <c r="E59" s="9"/>
      <c r="F59" s="9"/>
      <c r="G59" s="9"/>
      <c r="H59" s="9"/>
      <c r="I59" s="32"/>
      <c r="J59" s="2"/>
      <c r="K59" s="9"/>
      <c r="L59" s="9"/>
      <c r="M59" s="30"/>
    </row>
    <row r="60" spans="1:13" x14ac:dyDescent="0.25">
      <c r="C60" s="30"/>
      <c r="D60" s="9"/>
      <c r="E60" s="9"/>
      <c r="F60" s="9"/>
      <c r="G60" s="9"/>
      <c r="H60" s="9"/>
      <c r="I60" s="9"/>
      <c r="J60" s="9"/>
      <c r="K60" s="9"/>
      <c r="L60" s="9"/>
      <c r="M60" s="30"/>
    </row>
    <row r="61" spans="1:13" x14ac:dyDescent="0.25">
      <c r="D61" s="9"/>
      <c r="E61" s="9"/>
      <c r="F61" s="9"/>
      <c r="G61" s="9"/>
      <c r="H61" s="9"/>
      <c r="I61" s="9"/>
      <c r="J61" s="9"/>
      <c r="K61" s="9"/>
      <c r="L61" s="9"/>
    </row>
    <row r="62" spans="1:13" x14ac:dyDescent="0.25">
      <c r="D62" s="9"/>
      <c r="E62" s="9"/>
      <c r="F62" s="9"/>
      <c r="G62" s="9"/>
      <c r="H62" s="9"/>
      <c r="I62" s="9"/>
      <c r="J62" s="9"/>
      <c r="K62" s="9"/>
      <c r="L62" s="9"/>
    </row>
    <row r="63" spans="1:13" x14ac:dyDescent="0.25">
      <c r="D63" s="9"/>
      <c r="E63" s="9"/>
      <c r="F63" s="9"/>
      <c r="G63" s="9"/>
      <c r="H63" s="9"/>
      <c r="I63" s="9"/>
      <c r="J63" s="9"/>
      <c r="K63" s="9"/>
      <c r="L63" s="9"/>
    </row>
    <row r="64" spans="1:13" x14ac:dyDescent="0.25">
      <c r="D64" s="9"/>
      <c r="E64" s="9"/>
      <c r="F64" s="9"/>
      <c r="G64" s="9"/>
      <c r="H64" s="9"/>
      <c r="I64" s="9"/>
      <c r="J64" s="9"/>
      <c r="K64" s="9"/>
      <c r="L64" s="9"/>
    </row>
    <row r="65" spans="4:12" x14ac:dyDescent="0.25">
      <c r="D65" s="9"/>
      <c r="E65" s="9"/>
      <c r="F65" s="9"/>
      <c r="G65" s="9"/>
      <c r="H65" s="9"/>
      <c r="I65" s="9"/>
      <c r="J65" s="9"/>
      <c r="K65" s="9"/>
      <c r="L65" s="9"/>
    </row>
    <row r="66" spans="4:12" x14ac:dyDescent="0.25">
      <c r="D66" s="9"/>
      <c r="E66" s="9"/>
      <c r="F66" s="9"/>
      <c r="G66" s="9"/>
      <c r="H66" s="9"/>
      <c r="I66" s="9"/>
      <c r="J66" s="9"/>
      <c r="K66" s="9"/>
      <c r="L66" s="9"/>
    </row>
    <row r="67" spans="4:12" x14ac:dyDescent="0.25">
      <c r="D67" s="9"/>
      <c r="E67" s="9"/>
      <c r="F67" s="9"/>
      <c r="G67" s="9"/>
      <c r="H67" s="9"/>
      <c r="I67" s="9"/>
      <c r="J67" s="9"/>
      <c r="K67" s="9"/>
      <c r="L67" s="9"/>
    </row>
    <row r="68" spans="4:12" x14ac:dyDescent="0.25">
      <c r="D68" s="9"/>
      <c r="E68" s="9"/>
      <c r="F68" s="9"/>
      <c r="G68" s="9"/>
      <c r="H68" s="9"/>
      <c r="I68" s="9"/>
      <c r="J68" s="9"/>
      <c r="K68" s="9"/>
      <c r="L68" s="9"/>
    </row>
    <row r="69" spans="4:12" x14ac:dyDescent="0.25">
      <c r="D69" s="9"/>
      <c r="E69" s="9"/>
      <c r="F69" s="9"/>
      <c r="G69" s="9"/>
      <c r="H69" s="9"/>
      <c r="I69" s="9"/>
      <c r="J69" s="9"/>
      <c r="K69" s="9"/>
      <c r="L69" s="9"/>
    </row>
    <row r="70" spans="4:12" x14ac:dyDescent="0.25">
      <c r="D70" s="9"/>
      <c r="E70" s="9"/>
      <c r="F70" s="9"/>
      <c r="G70" s="9"/>
      <c r="H70" s="9"/>
      <c r="I70" s="9"/>
      <c r="J70" s="9"/>
      <c r="K70" s="9"/>
      <c r="L70" s="9"/>
    </row>
    <row r="71" spans="4:12" x14ac:dyDescent="0.25">
      <c r="D71" s="9"/>
      <c r="E71" s="9"/>
      <c r="F71" s="9"/>
      <c r="G71" s="9"/>
      <c r="H71" s="9"/>
      <c r="I71" s="9"/>
      <c r="J71" s="9"/>
      <c r="K71" s="9"/>
      <c r="L71" s="9"/>
    </row>
    <row r="72" spans="4:12" x14ac:dyDescent="0.25">
      <c r="D72" s="9"/>
      <c r="E72" s="9"/>
      <c r="F72" s="9"/>
      <c r="G72" s="9"/>
      <c r="H72" s="9"/>
      <c r="I72" s="9"/>
      <c r="J72" s="9"/>
      <c r="K72" s="9"/>
      <c r="L72" s="9"/>
    </row>
  </sheetData>
  <sheetProtection algorithmName="SHA-512" hashValue="b0yrZyh2Xcomj2RCUg0ePDyICvKsNjrDJ5r4pAkSvYCBM9nVCxEwqvAze/Vz93UZYHMqPDKK/RuA6srElhQvjQ==" saltValue="qdqMTtFEh3kKFDXWRBd5oA==" spinCount="100000" sheet="1" formatCells="0" formatRows="0" selectLockedCells="1"/>
  <mergeCells count="51">
    <mergeCell ref="G41:H41"/>
    <mergeCell ref="G37:H37"/>
    <mergeCell ref="A35:A46"/>
    <mergeCell ref="G38:H38"/>
    <mergeCell ref="G42:H42"/>
    <mergeCell ref="G43:H43"/>
    <mergeCell ref="G44:H44"/>
    <mergeCell ref="G45:H45"/>
    <mergeCell ref="G46:H46"/>
    <mergeCell ref="G36:H36"/>
    <mergeCell ref="G39:H39"/>
    <mergeCell ref="G40:H40"/>
    <mergeCell ref="A27:A33"/>
    <mergeCell ref="G27:H27"/>
    <mergeCell ref="G28:H28"/>
    <mergeCell ref="G29:H29"/>
    <mergeCell ref="G31:H31"/>
    <mergeCell ref="G32:H32"/>
    <mergeCell ref="G33:H33"/>
    <mergeCell ref="L20:M20"/>
    <mergeCell ref="G21:H21"/>
    <mergeCell ref="A24:A25"/>
    <mergeCell ref="G24:H24"/>
    <mergeCell ref="G25:H25"/>
    <mergeCell ref="B8:E8"/>
    <mergeCell ref="G8:M19"/>
    <mergeCell ref="B9:E9"/>
    <mergeCell ref="A15:B15"/>
    <mergeCell ref="C15:E15"/>
    <mergeCell ref="A16:E19"/>
    <mergeCell ref="B10:E10"/>
    <mergeCell ref="B11:E11"/>
    <mergeCell ref="B12:E12"/>
    <mergeCell ref="A14:B14"/>
    <mergeCell ref="C14:E14"/>
    <mergeCell ref="R1:V1"/>
    <mergeCell ref="R9:V9"/>
    <mergeCell ref="A48:A50"/>
    <mergeCell ref="G48:H48"/>
    <mergeCell ref="G49:H49"/>
    <mergeCell ref="G50:H50"/>
    <mergeCell ref="C3:E3"/>
    <mergeCell ref="A1:B1"/>
    <mergeCell ref="C1:E1"/>
    <mergeCell ref="K1:L1"/>
    <mergeCell ref="C2:E2"/>
    <mergeCell ref="F1:J3"/>
    <mergeCell ref="A5:E6"/>
    <mergeCell ref="G5:J5"/>
    <mergeCell ref="G6:M7"/>
    <mergeCell ref="B7:E7"/>
  </mergeCells>
  <dataValidations count="3">
    <dataValidation type="list" allowBlank="1" showInputMessage="1" showErrorMessage="1" sqref="H30" xr:uid="{00000000-0002-0000-0C00-000000000000}">
      <formula1>$U$3:$U$7</formula1>
    </dataValidation>
    <dataValidation type="list" allowBlank="1" showInputMessage="1" showErrorMessage="1" sqref="H35" xr:uid="{00000000-0002-0000-0C00-000001000000}">
      <formula1>$U$11:$U$15</formula1>
    </dataValidation>
    <dataValidation type="list" allowBlank="1" showInputMessage="1" showErrorMessage="1" sqref="H22" xr:uid="{00000000-0002-0000-0C00-000002000000}">
      <formula1>$X$2:$X$4</formula1>
    </dataValidation>
  </dataValidations>
  <pageMargins left="0.70866141732283472" right="0.70866141732283472" top="0.74803149606299213" bottom="0.74803149606299213" header="0.31496062992125984" footer="0.31496062992125984"/>
  <pageSetup paperSize="9" scale="54" fitToHeight="3" orientation="landscape" r:id="rId1"/>
  <headerFooter>
    <oddHeader>&amp;LDepartment for Energy and Mining&amp;C&amp;"Arial"&amp;12&amp;KA80000 OFFICIAL&amp;1#_x000D_</oddHeader>
    <oddFooter>&amp;L&amp;Z
&amp;F&amp;C&amp;P&amp;R&amp;D</oddFoot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Y72"/>
  <sheetViews>
    <sheetView showGridLines="0" zoomScale="90" zoomScaleNormal="90" workbookViewId="0">
      <selection activeCell="G8" sqref="G8:M19"/>
    </sheetView>
  </sheetViews>
  <sheetFormatPr defaultRowHeight="15" x14ac:dyDescent="0.25"/>
  <cols>
    <col min="1" max="1" width="19.85546875" customWidth="1"/>
    <col min="2" max="2" width="10.42578125" customWidth="1"/>
    <col min="3" max="3" width="37.7109375" customWidth="1"/>
    <col min="4" max="4" width="13.5703125" customWidth="1"/>
    <col min="5" max="5" width="11" customWidth="1"/>
    <col min="7" max="7" width="21.5703125" customWidth="1"/>
    <col min="8" max="8" width="15" customWidth="1"/>
    <col min="9" max="9" width="12.7109375" customWidth="1"/>
    <col min="10" max="10" width="12.140625" customWidth="1"/>
    <col min="11" max="11" width="14.42578125" customWidth="1"/>
    <col min="12" max="12" width="13.5703125" customWidth="1"/>
    <col min="13" max="13" width="50.42578125" customWidth="1"/>
    <col min="17" max="17" width="12.85546875" customWidth="1"/>
    <col min="18" max="18" width="12.42578125" customWidth="1"/>
    <col min="19" max="19" width="16.7109375" customWidth="1"/>
    <col min="20" max="22" width="12.42578125" customWidth="1"/>
    <col min="24" max="24" width="29.42578125" bestFit="1" customWidth="1"/>
    <col min="25" max="25" width="9.5703125" bestFit="1" customWidth="1"/>
  </cols>
  <sheetData>
    <row r="1" spans="1:25" ht="52.5" customHeight="1" x14ac:dyDescent="0.25">
      <c r="A1" s="1322" t="s">
        <v>492</v>
      </c>
      <c r="B1" s="1323"/>
      <c r="C1" s="1324" t="str">
        <f>'Summary Page'!E13</f>
        <v/>
      </c>
      <c r="D1" s="1325"/>
      <c r="E1" s="1326"/>
      <c r="F1" s="1360"/>
      <c r="G1" s="1285"/>
      <c r="H1" s="1285"/>
      <c r="I1" s="1285"/>
      <c r="J1" s="1286"/>
      <c r="K1" s="1295" t="s">
        <v>460</v>
      </c>
      <c r="L1" s="1295"/>
      <c r="M1" s="404" t="s">
        <v>844</v>
      </c>
      <c r="P1" s="525" t="str">
        <f>B30</f>
        <v>A1006</v>
      </c>
      <c r="Q1" s="526" t="s">
        <v>19</v>
      </c>
      <c r="R1" s="1273" t="s">
        <v>893</v>
      </c>
      <c r="S1" s="1274"/>
      <c r="T1" s="1274"/>
      <c r="U1" s="1274"/>
      <c r="V1" s="1275"/>
      <c r="X1" s="516" t="s">
        <v>74</v>
      </c>
      <c r="Y1" s="517" t="s">
        <v>608</v>
      </c>
    </row>
    <row r="2" spans="1:25" ht="21" x14ac:dyDescent="0.35">
      <c r="A2" s="368" t="s">
        <v>461</v>
      </c>
      <c r="B2" s="325">
        <v>4</v>
      </c>
      <c r="C2" s="1296" t="str">
        <f>'Summary Page'!E19</f>
        <v/>
      </c>
      <c r="D2" s="1297"/>
      <c r="E2" s="1348"/>
      <c r="F2" s="1287"/>
      <c r="G2" s="1288"/>
      <c r="H2" s="1288"/>
      <c r="I2" s="1288"/>
      <c r="J2" s="1289"/>
      <c r="K2" s="326"/>
      <c r="L2" s="327" t="s">
        <v>152</v>
      </c>
      <c r="M2" s="328">
        <f>K53</f>
        <v>0</v>
      </c>
      <c r="P2" s="297" t="s">
        <v>61</v>
      </c>
      <c r="Q2" s="371" t="s">
        <v>58</v>
      </c>
      <c r="R2" s="371" t="s">
        <v>59</v>
      </c>
      <c r="S2" s="371" t="s">
        <v>60</v>
      </c>
      <c r="T2" s="371" t="s">
        <v>53</v>
      </c>
      <c r="U2" s="372" t="s">
        <v>61</v>
      </c>
      <c r="V2" s="373" t="s">
        <v>53</v>
      </c>
      <c r="X2" s="41" t="s">
        <v>839</v>
      </c>
      <c r="Y2" s="466">
        <f>VLOOKUP(B22,Activities!A10:Q129,16,FALSE)</f>
        <v>27868.467286149284</v>
      </c>
    </row>
    <row r="3" spans="1:25" ht="21" x14ac:dyDescent="0.25">
      <c r="A3" s="329" t="s">
        <v>267</v>
      </c>
      <c r="B3" s="330">
        <f>'Version Control'!B50</f>
        <v>7</v>
      </c>
      <c r="C3" s="1356" t="s">
        <v>548</v>
      </c>
      <c r="D3" s="1357"/>
      <c r="E3" s="1358"/>
      <c r="F3" s="1290"/>
      <c r="G3" s="1291"/>
      <c r="H3" s="1291"/>
      <c r="I3" s="1291"/>
      <c r="J3" s="1292"/>
      <c r="K3" s="331"/>
      <c r="L3" s="332" t="s">
        <v>462</v>
      </c>
      <c r="M3" s="333">
        <f>'Summary Page'!J73</f>
        <v>0</v>
      </c>
      <c r="P3" s="374" t="s">
        <v>35</v>
      </c>
      <c r="Q3" s="357">
        <f>VLOOKUP(P1,Activities!$A$10:$Q$152,16,FALSE)</f>
        <v>1.1086505828514972</v>
      </c>
      <c r="R3" s="357">
        <f>VLOOKUP(Q1,Activities!$A$10:$Q$152,16,FALSE)</f>
        <v>1.1303836975020005</v>
      </c>
      <c r="S3" s="376">
        <v>1</v>
      </c>
      <c r="T3" s="375">
        <f>R3+Q3</f>
        <v>2.2390342803534979</v>
      </c>
      <c r="U3" s="235" t="s">
        <v>35</v>
      </c>
      <c r="V3" s="377">
        <f>T3</f>
        <v>2.2390342803534979</v>
      </c>
      <c r="X3" s="71" t="s">
        <v>840</v>
      </c>
      <c r="Y3" s="467">
        <f>Y2*2</f>
        <v>55736.934572298567</v>
      </c>
    </row>
    <row r="4" spans="1:25" ht="18.75" customHeight="1" x14ac:dyDescent="0.25">
      <c r="A4" s="334" t="s">
        <v>463</v>
      </c>
      <c r="B4" s="335">
        <f>'Version Control'!A50</f>
        <v>45531</v>
      </c>
      <c r="C4" s="233"/>
      <c r="D4" s="233"/>
      <c r="E4" s="233"/>
      <c r="F4" s="233"/>
      <c r="G4" s="233"/>
      <c r="H4" s="233"/>
      <c r="I4" s="233"/>
      <c r="J4" s="233"/>
      <c r="K4" s="294"/>
      <c r="L4" s="336" t="s">
        <v>464</v>
      </c>
      <c r="M4" s="337" t="e">
        <f>M2/M3</f>
        <v>#DIV/0!</v>
      </c>
      <c r="P4" s="374" t="s">
        <v>36</v>
      </c>
      <c r="Q4" s="375">
        <f>Q3</f>
        <v>1.1086505828514972</v>
      </c>
      <c r="R4" s="375">
        <f>R3*2</f>
        <v>2.260767395004001</v>
      </c>
      <c r="S4" s="376">
        <v>0.8</v>
      </c>
      <c r="T4" s="375">
        <f>Q4+(R4*S4)</f>
        <v>2.9172644988546983</v>
      </c>
      <c r="U4" s="235" t="s">
        <v>36</v>
      </c>
      <c r="V4" s="377">
        <f>T4</f>
        <v>2.9172644988546983</v>
      </c>
      <c r="X4" s="52" t="s">
        <v>613</v>
      </c>
      <c r="Y4" s="124"/>
    </row>
    <row r="5" spans="1:25" ht="19.5" customHeight="1" x14ac:dyDescent="0.25">
      <c r="A5" s="1349" t="s">
        <v>465</v>
      </c>
      <c r="B5" s="1298"/>
      <c r="C5" s="1298"/>
      <c r="D5" s="1298"/>
      <c r="E5" s="1299"/>
      <c r="F5" s="233"/>
      <c r="G5" s="1302" t="s">
        <v>466</v>
      </c>
      <c r="H5" s="1303"/>
      <c r="I5" s="1303"/>
      <c r="J5" s="1304"/>
      <c r="K5" s="233"/>
      <c r="L5" s="233"/>
      <c r="M5" s="233"/>
      <c r="P5" s="374" t="s">
        <v>37</v>
      </c>
      <c r="Q5" s="375">
        <f t="shared" ref="Q5:Q6" si="0">Q4</f>
        <v>1.1086505828514972</v>
      </c>
      <c r="R5" s="375">
        <f>R3*4</f>
        <v>4.5215347900080021</v>
      </c>
      <c r="S5" s="376">
        <v>0.7</v>
      </c>
      <c r="T5" s="375">
        <f>Q5+(R5*S5)</f>
        <v>4.2737249358570981</v>
      </c>
      <c r="U5" s="235" t="s">
        <v>37</v>
      </c>
      <c r="V5" s="377">
        <f>T5</f>
        <v>4.2737249358570981</v>
      </c>
    </row>
    <row r="6" spans="1:25" ht="19.5" customHeight="1" x14ac:dyDescent="0.25">
      <c r="A6" s="1350"/>
      <c r="B6" s="1351"/>
      <c r="C6" s="1351"/>
      <c r="D6" s="1351"/>
      <c r="E6" s="1352"/>
      <c r="F6" s="299"/>
      <c r="G6" s="1305" t="s">
        <v>484</v>
      </c>
      <c r="H6" s="1306"/>
      <c r="I6" s="1306"/>
      <c r="J6" s="1306"/>
      <c r="K6" s="1306"/>
      <c r="L6" s="1306"/>
      <c r="M6" s="1307"/>
      <c r="P6" s="374" t="s">
        <v>38</v>
      </c>
      <c r="Q6" s="375">
        <f t="shared" si="0"/>
        <v>1.1086505828514972</v>
      </c>
      <c r="R6" s="375">
        <f>R3*8</f>
        <v>9.0430695800160041</v>
      </c>
      <c r="S6" s="376">
        <v>0.6</v>
      </c>
      <c r="T6" s="375">
        <f>Q6+(R6*S6)</f>
        <v>6.5344923308610987</v>
      </c>
      <c r="U6" s="235" t="s">
        <v>244</v>
      </c>
      <c r="V6" s="377">
        <f>T6</f>
        <v>6.5344923308610987</v>
      </c>
    </row>
    <row r="7" spans="1:25" ht="15" customHeight="1" x14ac:dyDescent="0.25">
      <c r="A7" s="348">
        <v>1</v>
      </c>
      <c r="B7" s="1353" t="s">
        <v>498</v>
      </c>
      <c r="C7" s="1354"/>
      <c r="D7" s="1354"/>
      <c r="E7" s="1355"/>
      <c r="F7" s="339"/>
      <c r="G7" s="1308"/>
      <c r="H7" s="1309"/>
      <c r="I7" s="1309"/>
      <c r="J7" s="1309"/>
      <c r="K7" s="1309"/>
      <c r="L7" s="1309"/>
      <c r="M7" s="1310"/>
      <c r="P7" s="238"/>
      <c r="Q7" s="236"/>
      <c r="R7" s="236"/>
      <c r="S7" s="236"/>
      <c r="T7" s="236"/>
      <c r="U7" s="236" t="s">
        <v>264</v>
      </c>
      <c r="V7" s="237"/>
    </row>
    <row r="8" spans="1:25" ht="15" customHeight="1" x14ac:dyDescent="0.25">
      <c r="A8" s="297">
        <v>2</v>
      </c>
      <c r="B8" s="1340" t="s">
        <v>499</v>
      </c>
      <c r="C8" s="1341"/>
      <c r="D8" s="1341"/>
      <c r="E8" s="1342"/>
      <c r="F8" s="339"/>
      <c r="G8" s="1137"/>
      <c r="H8" s="1138"/>
      <c r="I8" s="1138"/>
      <c r="J8" s="1138"/>
      <c r="K8" s="1138"/>
      <c r="L8" s="1138"/>
      <c r="M8" s="1139"/>
      <c r="P8" s="233"/>
      <c r="Q8" s="233"/>
      <c r="R8" s="233"/>
      <c r="S8" s="233"/>
      <c r="T8" s="233"/>
      <c r="U8" s="233"/>
      <c r="V8" s="233"/>
    </row>
    <row r="9" spans="1:25" ht="15" customHeight="1" x14ac:dyDescent="0.25">
      <c r="A9" s="297">
        <v>3</v>
      </c>
      <c r="B9" s="1327" t="s">
        <v>494</v>
      </c>
      <c r="C9" s="1327"/>
      <c r="D9" s="1327"/>
      <c r="E9" s="1328"/>
      <c r="F9" s="339"/>
      <c r="G9" s="1140"/>
      <c r="H9" s="1329"/>
      <c r="I9" s="1329"/>
      <c r="J9" s="1329"/>
      <c r="K9" s="1329"/>
      <c r="L9" s="1329"/>
      <c r="M9" s="1142"/>
      <c r="P9" s="525" t="str">
        <f>B35</f>
        <v>A1013</v>
      </c>
      <c r="Q9" s="526" t="s">
        <v>19</v>
      </c>
      <c r="R9" s="1273" t="s">
        <v>72</v>
      </c>
      <c r="S9" s="1274"/>
      <c r="T9" s="1274"/>
      <c r="U9" s="1274"/>
      <c r="V9" s="1275"/>
    </row>
    <row r="10" spans="1:25" ht="15" customHeight="1" x14ac:dyDescent="0.25">
      <c r="A10" s="297">
        <v>4</v>
      </c>
      <c r="B10" s="1327" t="s">
        <v>500</v>
      </c>
      <c r="C10" s="1327"/>
      <c r="D10" s="1327"/>
      <c r="E10" s="1328"/>
      <c r="F10" s="339"/>
      <c r="G10" s="1140"/>
      <c r="H10" s="1329"/>
      <c r="I10" s="1329"/>
      <c r="J10" s="1329"/>
      <c r="K10" s="1329"/>
      <c r="L10" s="1329"/>
      <c r="M10" s="1142"/>
      <c r="P10" s="297" t="s">
        <v>61</v>
      </c>
      <c r="Q10" s="371" t="s">
        <v>58</v>
      </c>
      <c r="R10" s="371" t="s">
        <v>59</v>
      </c>
      <c r="S10" s="371" t="s">
        <v>60</v>
      </c>
      <c r="T10" s="371" t="s">
        <v>53</v>
      </c>
      <c r="U10" s="372" t="s">
        <v>61</v>
      </c>
      <c r="V10" s="373" t="s">
        <v>53</v>
      </c>
    </row>
    <row r="11" spans="1:25" x14ac:dyDescent="0.25">
      <c r="A11" s="297">
        <v>5</v>
      </c>
      <c r="B11" s="1330" t="s">
        <v>841</v>
      </c>
      <c r="C11" s="1331"/>
      <c r="D11" s="1331"/>
      <c r="E11" s="1332"/>
      <c r="F11" s="339"/>
      <c r="G11" s="1140"/>
      <c r="H11" s="1329"/>
      <c r="I11" s="1329"/>
      <c r="J11" s="1329"/>
      <c r="K11" s="1329"/>
      <c r="L11" s="1329"/>
      <c r="M11" s="1142"/>
      <c r="P11" s="374" t="s">
        <v>35</v>
      </c>
      <c r="Q11" s="357">
        <f>VLOOKUP(P9,Activities!$A$10:$Q$152,16,FALSE)</f>
        <v>1.4289323610931841</v>
      </c>
      <c r="R11" s="357">
        <f>VLOOKUP(Q9,Activities!$A$10:$Q$152,16,FALSE)</f>
        <v>1.1303836975020005</v>
      </c>
      <c r="S11" s="376">
        <v>1</v>
      </c>
      <c r="T11" s="375">
        <f>R11+Q11</f>
        <v>2.5593160585951846</v>
      </c>
      <c r="U11" s="235" t="s">
        <v>35</v>
      </c>
      <c r="V11" s="377">
        <f>T11</f>
        <v>2.5593160585951846</v>
      </c>
    </row>
    <row r="12" spans="1:25" ht="15" customHeight="1" x14ac:dyDescent="0.25">
      <c r="A12" s="305">
        <v>6</v>
      </c>
      <c r="B12" s="1346" t="s">
        <v>84</v>
      </c>
      <c r="C12" s="1346"/>
      <c r="D12" s="1346"/>
      <c r="E12" s="1347"/>
      <c r="F12" s="233"/>
      <c r="G12" s="1140"/>
      <c r="H12" s="1329"/>
      <c r="I12" s="1329"/>
      <c r="J12" s="1329"/>
      <c r="K12" s="1329"/>
      <c r="L12" s="1329"/>
      <c r="M12" s="1142"/>
      <c r="P12" s="374" t="s">
        <v>36</v>
      </c>
      <c r="Q12" s="375">
        <f>Q11</f>
        <v>1.4289323610931841</v>
      </c>
      <c r="R12" s="375">
        <f>R11*2</f>
        <v>2.260767395004001</v>
      </c>
      <c r="S12" s="376">
        <v>0.8</v>
      </c>
      <c r="T12" s="375">
        <f>Q12+(R12*S12)</f>
        <v>3.237546277096385</v>
      </c>
      <c r="U12" s="235" t="s">
        <v>36</v>
      </c>
      <c r="V12" s="377">
        <f>T12</f>
        <v>3.237546277096385</v>
      </c>
    </row>
    <row r="13" spans="1:25" ht="15" customHeight="1" x14ac:dyDescent="0.25">
      <c r="A13" s="340" t="s">
        <v>34</v>
      </c>
      <c r="B13" s="233"/>
      <c r="C13" s="233"/>
      <c r="D13" s="233"/>
      <c r="E13" s="233"/>
      <c r="F13" s="233"/>
      <c r="G13" s="1140"/>
      <c r="H13" s="1329"/>
      <c r="I13" s="1329"/>
      <c r="J13" s="1329"/>
      <c r="K13" s="1329"/>
      <c r="L13" s="1329"/>
      <c r="M13" s="1142"/>
      <c r="P13" s="374" t="s">
        <v>37</v>
      </c>
      <c r="Q13" s="375">
        <f t="shared" ref="Q13:Q14" si="1">Q12</f>
        <v>1.4289323610931841</v>
      </c>
      <c r="R13" s="375">
        <f>R11*4</f>
        <v>4.5215347900080021</v>
      </c>
      <c r="S13" s="376">
        <v>0.7</v>
      </c>
      <c r="T13" s="375">
        <f>Q13+(R13*S13)</f>
        <v>4.5940067140987857</v>
      </c>
      <c r="U13" s="235" t="s">
        <v>37</v>
      </c>
      <c r="V13" s="377">
        <f>T13</f>
        <v>4.5940067140987857</v>
      </c>
    </row>
    <row r="14" spans="1:25" ht="15" customHeight="1" x14ac:dyDescent="0.25">
      <c r="A14" s="1276"/>
      <c r="B14" s="1277"/>
      <c r="C14" s="1278" t="s">
        <v>352</v>
      </c>
      <c r="D14" s="1278"/>
      <c r="E14" s="1279"/>
      <c r="F14" s="233"/>
      <c r="G14" s="1140"/>
      <c r="H14" s="1329"/>
      <c r="I14" s="1329"/>
      <c r="J14" s="1329"/>
      <c r="K14" s="1329"/>
      <c r="L14" s="1329"/>
      <c r="M14" s="1142"/>
      <c r="P14" s="374" t="s">
        <v>38</v>
      </c>
      <c r="Q14" s="375">
        <f t="shared" si="1"/>
        <v>1.4289323610931841</v>
      </c>
      <c r="R14" s="375">
        <f>R11*8</f>
        <v>9.0430695800160041</v>
      </c>
      <c r="S14" s="376">
        <v>0.6</v>
      </c>
      <c r="T14" s="375">
        <f>Q14+(R14*S14)</f>
        <v>6.8547741091027863</v>
      </c>
      <c r="U14" s="235" t="s">
        <v>244</v>
      </c>
      <c r="V14" s="377">
        <f>T14</f>
        <v>6.8547741091027863</v>
      </c>
    </row>
    <row r="15" spans="1:25" ht="15" customHeight="1" x14ac:dyDescent="0.25">
      <c r="A15" s="1201"/>
      <c r="B15" s="1202"/>
      <c r="C15" s="1280" t="s">
        <v>467</v>
      </c>
      <c r="D15" s="1280"/>
      <c r="E15" s="1281"/>
      <c r="F15" s="233"/>
      <c r="G15" s="1140"/>
      <c r="H15" s="1329"/>
      <c r="I15" s="1329"/>
      <c r="J15" s="1329"/>
      <c r="K15" s="1329"/>
      <c r="L15" s="1329"/>
      <c r="M15" s="1142"/>
      <c r="P15" s="378"/>
      <c r="Q15" s="379"/>
      <c r="R15" s="379"/>
      <c r="S15" s="379"/>
      <c r="T15" s="379"/>
      <c r="U15" s="236" t="s">
        <v>264</v>
      </c>
      <c r="V15" s="380"/>
    </row>
    <row r="16" spans="1:25" ht="18.75" customHeight="1" x14ac:dyDescent="0.25">
      <c r="A16" s="1284" t="s">
        <v>824</v>
      </c>
      <c r="B16" s="1285"/>
      <c r="C16" s="1285"/>
      <c r="D16" s="1285"/>
      <c r="E16" s="1286"/>
      <c r="F16" s="233"/>
      <c r="G16" s="1140"/>
      <c r="H16" s="1329"/>
      <c r="I16" s="1329"/>
      <c r="J16" s="1329"/>
      <c r="K16" s="1329"/>
      <c r="L16" s="1329"/>
      <c r="M16" s="1142"/>
      <c r="Q16" s="4"/>
      <c r="R16" s="4"/>
      <c r="S16" s="532"/>
      <c r="T16" s="4"/>
      <c r="V16" s="4"/>
    </row>
    <row r="17" spans="1:23" ht="15" customHeight="1" x14ac:dyDescent="0.25">
      <c r="A17" s="1287"/>
      <c r="B17" s="1288"/>
      <c r="C17" s="1288"/>
      <c r="D17" s="1288"/>
      <c r="E17" s="1289"/>
      <c r="F17" s="233"/>
      <c r="G17" s="1140"/>
      <c r="H17" s="1329"/>
      <c r="I17" s="1329"/>
      <c r="J17" s="1329"/>
      <c r="K17" s="1329"/>
      <c r="L17" s="1329"/>
      <c r="M17" s="1142"/>
      <c r="Q17" s="4"/>
      <c r="R17" s="4"/>
      <c r="S17" s="342"/>
      <c r="T17" s="4"/>
      <c r="V17" s="4"/>
    </row>
    <row r="18" spans="1:23" ht="15" customHeight="1" x14ac:dyDescent="0.25">
      <c r="A18" s="1287"/>
      <c r="B18" s="1288"/>
      <c r="C18" s="1288"/>
      <c r="D18" s="1288"/>
      <c r="E18" s="1289"/>
      <c r="F18" s="233"/>
      <c r="G18" s="1140"/>
      <c r="H18" s="1329"/>
      <c r="I18" s="1329"/>
      <c r="J18" s="1329"/>
      <c r="K18" s="1329"/>
      <c r="L18" s="1329"/>
      <c r="M18" s="1142"/>
      <c r="Q18" s="4"/>
      <c r="R18" s="4"/>
      <c r="S18" s="342"/>
      <c r="T18" s="4"/>
      <c r="V18" s="4"/>
    </row>
    <row r="19" spans="1:23" ht="15" customHeight="1" x14ac:dyDescent="0.25">
      <c r="A19" s="1290"/>
      <c r="B19" s="1291"/>
      <c r="C19" s="1291"/>
      <c r="D19" s="1291"/>
      <c r="E19" s="1292"/>
      <c r="F19" s="233"/>
      <c r="G19" s="1143"/>
      <c r="H19" s="1144"/>
      <c r="I19" s="1144"/>
      <c r="J19" s="1144"/>
      <c r="K19" s="1144"/>
      <c r="L19" s="1144"/>
      <c r="M19" s="1145"/>
    </row>
    <row r="20" spans="1:23" s="1" customFormat="1" ht="18.75" x14ac:dyDescent="0.3">
      <c r="A20" s="233"/>
      <c r="B20" s="233"/>
      <c r="C20" s="233"/>
      <c r="D20" s="366"/>
      <c r="E20" s="233"/>
      <c r="F20" s="233"/>
      <c r="G20" s="233"/>
      <c r="H20" s="233"/>
      <c r="I20" s="233"/>
      <c r="J20" s="219"/>
      <c r="K20" s="367"/>
      <c r="L20" s="1291"/>
      <c r="M20" s="1292"/>
      <c r="P20" s="6"/>
      <c r="Q20"/>
      <c r="R20"/>
      <c r="S20"/>
      <c r="T20"/>
      <c r="U20"/>
      <c r="V20"/>
      <c r="W20"/>
    </row>
    <row r="21" spans="1:23" ht="60.75" customHeight="1" thickBot="1" x14ac:dyDescent="0.3">
      <c r="A21" s="119" t="s">
        <v>39</v>
      </c>
      <c r="B21" s="120" t="s">
        <v>40</v>
      </c>
      <c r="C21" s="120" t="s">
        <v>479</v>
      </c>
      <c r="D21" s="311" t="s">
        <v>272</v>
      </c>
      <c r="E21" s="311" t="s">
        <v>43</v>
      </c>
      <c r="F21" s="120" t="s">
        <v>273</v>
      </c>
      <c r="G21" s="1212" t="s">
        <v>416</v>
      </c>
      <c r="H21" s="1212"/>
      <c r="I21" s="120" t="s">
        <v>45</v>
      </c>
      <c r="J21" s="312" t="s">
        <v>271</v>
      </c>
      <c r="K21" s="120" t="s">
        <v>47</v>
      </c>
      <c r="L21" s="120" t="s">
        <v>270</v>
      </c>
      <c r="M21" s="317" t="s">
        <v>415</v>
      </c>
      <c r="Q21" s="4"/>
      <c r="R21" s="4"/>
      <c r="S21" s="342"/>
      <c r="T21" s="4"/>
      <c r="V21" s="4"/>
    </row>
    <row r="22" spans="1:23" ht="48.75" thickBot="1" x14ac:dyDescent="0.3">
      <c r="A22" s="486" t="s">
        <v>76</v>
      </c>
      <c r="B22" s="245" t="s">
        <v>608</v>
      </c>
      <c r="C22" s="259" t="str">
        <f>VLOOKUP($B22,Activities!$A$10:$P$152,3,FALSE)</f>
        <v>Design/Quantify/Survey Rehabilitation Structures to Specification Standard</v>
      </c>
      <c r="D22" s="239" t="s">
        <v>49</v>
      </c>
      <c r="E22" s="240"/>
      <c r="F22" s="246" t="s">
        <v>50</v>
      </c>
      <c r="G22" s="313" t="s">
        <v>838</v>
      </c>
      <c r="H22" s="140" t="s">
        <v>613</v>
      </c>
      <c r="I22" s="273">
        <f>VLOOKUP(H22,X2:Y4,2,FALSE)</f>
        <v>0</v>
      </c>
      <c r="J22" s="269"/>
      <c r="K22" s="390">
        <f t="shared" ref="K22" si="2">IF(D22="Y",IF(J22="",I22*E22,J22*E22),"")</f>
        <v>0</v>
      </c>
      <c r="L22" s="248" t="str">
        <f>IFERROR(IF(D22="Y",K22/$K$63,0%),"0.0%")</f>
        <v>0.0%</v>
      </c>
      <c r="M22" s="290" t="str">
        <f>VLOOKUP($B22,Activities!$A$10:$S$152,19,FALSE)</f>
        <v>This item covers the cost of a third party called in to determine the extent of work required and to assess the methodology to complete the work and any other design or planning activities required.</v>
      </c>
      <c r="Q22" s="4"/>
      <c r="R22" s="4"/>
      <c r="S22" s="342"/>
      <c r="T22" s="4"/>
      <c r="V22" s="4"/>
    </row>
    <row r="23" spans="1:23" ht="16.5" thickBot="1" x14ac:dyDescent="0.3">
      <c r="A23" s="21" t="s">
        <v>53</v>
      </c>
      <c r="B23" s="112" t="str">
        <f>A22</f>
        <v>Preliminaries</v>
      </c>
      <c r="C23" s="113"/>
      <c r="D23" s="24"/>
      <c r="E23" s="25"/>
      <c r="F23" s="24"/>
      <c r="G23" s="24"/>
      <c r="H23" s="24"/>
      <c r="I23" s="26"/>
      <c r="J23" s="27"/>
      <c r="K23" s="28">
        <f>SUM(K22:K22)</f>
        <v>0</v>
      </c>
      <c r="L23" s="24"/>
      <c r="M23" s="29"/>
      <c r="Q23" s="4"/>
      <c r="R23" s="4"/>
      <c r="S23" s="342"/>
      <c r="T23" s="4"/>
      <c r="V23" s="4"/>
    </row>
    <row r="24" spans="1:23" ht="54" customHeight="1" thickBot="1" x14ac:dyDescent="0.3">
      <c r="A24" s="1362" t="s">
        <v>495</v>
      </c>
      <c r="B24" s="37"/>
      <c r="C24" s="295" t="s">
        <v>300</v>
      </c>
      <c r="D24" s="239" t="s">
        <v>49</v>
      </c>
      <c r="E24" s="607"/>
      <c r="F24" s="296"/>
      <c r="G24" s="1269"/>
      <c r="H24" s="1270"/>
      <c r="I24" s="355" t="s">
        <v>475</v>
      </c>
      <c r="J24" s="269"/>
      <c r="K24" s="387">
        <f>IF(D24="Y",J24*E24,"")</f>
        <v>0</v>
      </c>
      <c r="L24" s="248" t="str">
        <f>IFERROR(IF(D24="Y",K24/$K$53,0%),"0.0%")</f>
        <v>0.0%</v>
      </c>
      <c r="M24" s="139" t="s">
        <v>56</v>
      </c>
      <c r="Q24" s="4"/>
      <c r="R24" s="4"/>
      <c r="S24" s="342"/>
      <c r="T24" s="4"/>
      <c r="V24" s="4"/>
      <c r="W24" s="1"/>
    </row>
    <row r="25" spans="1:23" ht="61.5" customHeight="1" thickBot="1" x14ac:dyDescent="0.3">
      <c r="A25" s="1363"/>
      <c r="B25" s="37"/>
      <c r="C25" s="295" t="s">
        <v>300</v>
      </c>
      <c r="D25" s="239" t="s">
        <v>49</v>
      </c>
      <c r="E25" s="607"/>
      <c r="F25" s="296"/>
      <c r="G25" s="1269"/>
      <c r="H25" s="1270"/>
      <c r="I25" s="355" t="s">
        <v>475</v>
      </c>
      <c r="J25" s="269"/>
      <c r="K25" s="387">
        <f>IF(D25="Y",J25*E25,"")</f>
        <v>0</v>
      </c>
      <c r="L25" s="248" t="str">
        <f>IFERROR(IF(D25="Y",K25/$K$53,0%),"0.0%")</f>
        <v>0.0%</v>
      </c>
      <c r="M25" s="139" t="s">
        <v>56</v>
      </c>
    </row>
    <row r="26" spans="1:23" ht="20.25" customHeight="1" thickBot="1" x14ac:dyDescent="0.3">
      <c r="A26" s="21" t="s">
        <v>53</v>
      </c>
      <c r="B26" s="112" t="str">
        <f>A24</f>
        <v>Special Treatments for Waste Rock Dump</v>
      </c>
      <c r="C26" s="23"/>
      <c r="D26" s="24"/>
      <c r="E26" s="25"/>
      <c r="F26" s="24"/>
      <c r="G26" s="24"/>
      <c r="H26" s="24"/>
      <c r="I26" s="26"/>
      <c r="J26" s="27"/>
      <c r="K26" s="28">
        <f>SUM(K24:K25)</f>
        <v>0</v>
      </c>
      <c r="L26" s="24"/>
      <c r="M26" s="29"/>
    </row>
    <row r="27" spans="1:23" ht="48.75" customHeight="1" thickBot="1" x14ac:dyDescent="0.3">
      <c r="A27" s="1132" t="s">
        <v>77</v>
      </c>
      <c r="B27" s="86" t="s">
        <v>78</v>
      </c>
      <c r="C27" s="259" t="str">
        <f>VLOOKUP($B27,Activities!$A$10:$P$152,3,FALSE)</f>
        <v xml:space="preserve">Consolidation of loose Stockpiles of Waste and/or Ore </v>
      </c>
      <c r="D27" s="239" t="s">
        <v>49</v>
      </c>
      <c r="E27" s="240"/>
      <c r="F27" s="246" t="str">
        <f>VLOOKUP($B27,Activities!$A$10:$P$152,4,FALSE)</f>
        <v>m3</v>
      </c>
      <c r="G27" s="1269"/>
      <c r="H27" s="1270"/>
      <c r="I27" s="272">
        <f>VLOOKUP($B27,Activities!$A$10:$S$152,16,FALSE)</f>
        <v>3.7418180963331782</v>
      </c>
      <c r="J27" s="269"/>
      <c r="K27" s="388">
        <f t="shared" ref="K27:K33" si="3">IF(D27="Y",IF(J27="",I27*E27,J27*E27),0)</f>
        <v>0</v>
      </c>
      <c r="L27" s="248" t="str">
        <f>IFERROR(IF(D27="Y",K27/$K$64,0%),"0.0%")</f>
        <v>0.0%</v>
      </c>
      <c r="M27" s="290" t="str">
        <f>VLOOKUP($B27,Activities!$A$10:$S$152,19,FALSE)</f>
        <v>This activity covers the removal of small stockpiles of waste rock, ROM ore and other stockpiles.  These are consolidated into one waste dump for rehabilitation.</v>
      </c>
    </row>
    <row r="28" spans="1:23" ht="59.25" customHeight="1" thickBot="1" x14ac:dyDescent="0.3">
      <c r="A28" s="1133"/>
      <c r="B28" s="86" t="s">
        <v>79</v>
      </c>
      <c r="C28" s="259" t="str">
        <f>VLOOKUP($B28,Activities!$A$10:$P$152,3,FALSE)</f>
        <v>Minor Shaping across a Dump or Disturbed Area</v>
      </c>
      <c r="D28" s="239" t="s">
        <v>49</v>
      </c>
      <c r="E28" s="240"/>
      <c r="F28" s="246" t="str">
        <f>VLOOKUP($B28,Activities!$A$10:$P$152,4,FALSE)</f>
        <v>Ha</v>
      </c>
      <c r="G28" s="1269"/>
      <c r="H28" s="1270"/>
      <c r="I28" s="272">
        <f>VLOOKUP($B28,Activities!$A$10:$S$152,16,FALSE)</f>
        <v>2987.2221197728068</v>
      </c>
      <c r="J28" s="269"/>
      <c r="K28" s="388">
        <f t="shared" si="3"/>
        <v>0</v>
      </c>
      <c r="L28" s="248" t="str">
        <f>IFERROR(IF(D28="Y",K28/$K$64,0%),"0.0%")</f>
        <v>0.0%</v>
      </c>
      <c r="M28" s="290" t="str">
        <f>VLOOKUP($B28,Activities!$A$10:$S$152,19,FALSE)</f>
        <v xml:space="preserve">This activity covers minor shaping shifting pushing across a dump or disturbed area.  It is based on a rate per hectare.  It covers area where there needs to be some clearing work, tidying up of disturbed ground,  but not just bulk pushing </v>
      </c>
      <c r="P28" s="47"/>
      <c r="Q28" s="47"/>
      <c r="R28" s="47"/>
      <c r="S28" s="47"/>
    </row>
    <row r="29" spans="1:23" ht="63.75" customHeight="1" thickBot="1" x14ac:dyDescent="0.3">
      <c r="A29" s="1133"/>
      <c r="B29" s="102" t="s">
        <v>13</v>
      </c>
      <c r="C29" s="259" t="str">
        <f>VLOOKUP($B29,Activities!$A$10:$P$152,3,FALSE)</f>
        <v>Major Bulk Pushing/Dozing to achieve Final Land Forms</v>
      </c>
      <c r="D29" s="239" t="s">
        <v>49</v>
      </c>
      <c r="E29" s="240"/>
      <c r="F29" s="246" t="str">
        <f>VLOOKUP($B29,Activities!$A$10:$P$152,4,FALSE)</f>
        <v>m3</v>
      </c>
      <c r="G29" s="1269"/>
      <c r="H29" s="1270"/>
      <c r="I29" s="272">
        <f>VLOOKUP($B29,Activities!$A$10:$S$152,16,FALSE)</f>
        <v>0.96390609627070267</v>
      </c>
      <c r="J29" s="269"/>
      <c r="K29" s="388">
        <f t="shared" si="3"/>
        <v>0</v>
      </c>
      <c r="L29" s="248" t="str">
        <f>IFERROR(IF(D29="Y",K29/$K$64,0%),"0.0%")</f>
        <v>0.0%</v>
      </c>
      <c r="M29" s="290" t="str">
        <f>VLOOKUP($B29,Activities!$A$10:$S$152,19,FALSE)</f>
        <v>This unit cost covers the use of a dozer to push material within reasonable confines to achieve a Final Land Form.  It is often undertaken prior to covering a tailing storage facility</v>
      </c>
      <c r="O29" s="47"/>
      <c r="P29" s="47"/>
      <c r="Q29" s="47"/>
      <c r="R29" s="47"/>
      <c r="S29" s="47"/>
    </row>
    <row r="30" spans="1:23" ht="56.25" customHeight="1" thickBot="1" x14ac:dyDescent="0.3">
      <c r="A30" s="1133"/>
      <c r="B30" s="102" t="s">
        <v>17</v>
      </c>
      <c r="C30" s="259" t="str">
        <f>VLOOKUP($B30,Activities!$A$10:$P$152,3,FALSE)</f>
        <v xml:space="preserve">Excavation of earthen materials from local borrow pits, plus haulage </v>
      </c>
      <c r="D30" s="239" t="s">
        <v>49</v>
      </c>
      <c r="E30" s="242"/>
      <c r="F30" s="19" t="s">
        <v>15</v>
      </c>
      <c r="G30" s="313" t="s">
        <v>51</v>
      </c>
      <c r="H30" s="167" t="s">
        <v>264</v>
      </c>
      <c r="I30" s="350">
        <f>VLOOKUP(H30,U3:V7,2)</f>
        <v>0</v>
      </c>
      <c r="J30" s="269"/>
      <c r="K30" s="388">
        <f t="shared" si="3"/>
        <v>0</v>
      </c>
      <c r="L30" s="248" t="str">
        <f>IFERROR(IF(D30="Y",K30/$K$53,0%),"0.0%")</f>
        <v>0.0%</v>
      </c>
      <c r="M30" s="290" t="str">
        <f>VLOOKUP($B30,Activities!$A$10:$S$152,19,FALSE)</f>
        <v>This activity involves the excavation of earthern material from a local borrow pit and the loading of that material into a truck.  Haulage cost based on distance hauled.</v>
      </c>
      <c r="O30" s="47"/>
    </row>
    <row r="31" spans="1:23" ht="53.25" customHeight="1" thickBot="1" x14ac:dyDescent="0.3">
      <c r="A31" s="1133"/>
      <c r="B31" s="102" t="s">
        <v>18</v>
      </c>
      <c r="C31" s="259" t="str">
        <f>VLOOKUP($B31,Activities!$A$10:$P$152,3,FALSE)</f>
        <v>Spreading Materials on ground or an open area excluding compaction (&gt;1,000m3)</v>
      </c>
      <c r="D31" s="239" t="s">
        <v>49</v>
      </c>
      <c r="E31" s="240"/>
      <c r="F31" s="246" t="str">
        <f>VLOOKUP($B31,Activities!$A$10:$P$152,4,FALSE)</f>
        <v>m3</v>
      </c>
      <c r="G31" s="1269"/>
      <c r="H31" s="1270"/>
      <c r="I31" s="272">
        <f>VLOOKUP($B31,Activities!$A$10:$S$152,16,FALSE)</f>
        <v>1.0890037105820705</v>
      </c>
      <c r="J31" s="269"/>
      <c r="K31" s="388">
        <f t="shared" si="3"/>
        <v>0</v>
      </c>
      <c r="L31" s="248" t="str">
        <f>IFERROR(IF(D31="Y",K31/$K$64,0%),"0.0%")</f>
        <v>0.0%</v>
      </c>
      <c r="M31" s="290" t="str">
        <f>VLOOKUP($B31,Activities!$A$10:$S$152,19,FALSE)</f>
        <v xml:space="preserve">This activity involves the spreading of material that has been transported and dumped at the work area. </v>
      </c>
    </row>
    <row r="32" spans="1:23" ht="61.5" customHeight="1" thickBot="1" x14ac:dyDescent="0.3">
      <c r="A32" s="1133"/>
      <c r="B32" s="86" t="s">
        <v>80</v>
      </c>
      <c r="C32" s="259" t="str">
        <f>VLOOKUP($B32,Activities!$A$10:$P$152,3,FALSE)</f>
        <v>Construction of Water Run-off Management Structures and/or Dams</v>
      </c>
      <c r="D32" s="239" t="s">
        <v>49</v>
      </c>
      <c r="E32" s="240"/>
      <c r="F32" s="246" t="str">
        <f>VLOOKUP($B32,Activities!$A$10:$P$152,4,FALSE)</f>
        <v>Ha</v>
      </c>
      <c r="G32" s="1269"/>
      <c r="H32" s="1270"/>
      <c r="I32" s="272">
        <f>VLOOKUP($B32,Activities!$A$10:$S$152,16,FALSE)</f>
        <v>7806.9613461745139</v>
      </c>
      <c r="J32" s="269"/>
      <c r="K32" s="388">
        <f t="shared" si="3"/>
        <v>0</v>
      </c>
      <c r="L32" s="248" t="str">
        <f>IFERROR(IF(D32="Y",K32/$K$64,0%),"0.0%")</f>
        <v>0.0%</v>
      </c>
      <c r="M32" s="290" t="str">
        <f>VLOOKUP($B32,Activities!$A$10:$S$152,19,FALSE)</f>
        <v>This activity is a general activity and it involves shaping of critical areas, the construction of minor water management drains, rock lining of the drains, dams and diversion channels to manage water run-off from the area. It is based on a rate per hectare (based only on the hectares associated with the run-off management) and includes channel excavation, rock lining and minor dam construction.  (Operator may prefer to better define this activity)</v>
      </c>
    </row>
    <row r="33" spans="1:13" ht="51.75" customHeight="1" thickBot="1" x14ac:dyDescent="0.3">
      <c r="A33" s="1133"/>
      <c r="B33" s="86" t="s">
        <v>81</v>
      </c>
      <c r="C33" s="259" t="str">
        <f>VLOOKUP($B33,Activities!$A$10:$P$152,3,FALSE)</f>
        <v>Construction of Berm or Barrier to prevent Access</v>
      </c>
      <c r="D33" s="239" t="s">
        <v>49</v>
      </c>
      <c r="E33" s="240"/>
      <c r="F33" s="246" t="str">
        <f>VLOOKUP($B33,Activities!$A$10:$P$152,4,FALSE)</f>
        <v>Lin m</v>
      </c>
      <c r="G33" s="1269"/>
      <c r="H33" s="1270"/>
      <c r="I33" s="272">
        <f>VLOOKUP($B33,Activities!$A$10:$S$152,16,FALSE)</f>
        <v>56.743935369018423</v>
      </c>
      <c r="J33" s="269"/>
      <c r="K33" s="388">
        <f t="shared" si="3"/>
        <v>0</v>
      </c>
      <c r="L33" s="248" t="str">
        <f>IFERROR(IF(D33="Y",K33/$K$64,0%),"0.0%")</f>
        <v>0.0%</v>
      </c>
      <c r="M33" s="290" t="str">
        <f>VLOOKUP($B33,Activities!$A$10:$S$152,19,FALSE)</f>
        <v>The activity covers the construction of a Berm or Barrier to prevent access.  The Barrier is designed to prevent vehicular access and is a significant size to do this.</v>
      </c>
    </row>
    <row r="34" spans="1:13" ht="22.5" customHeight="1" thickBot="1" x14ac:dyDescent="0.3">
      <c r="A34" s="21" t="s">
        <v>53</v>
      </c>
      <c r="B34" s="112" t="str">
        <f>A27</f>
        <v>Primary Earthworks and Shaping of the Dump</v>
      </c>
      <c r="C34" s="23"/>
      <c r="D34" s="24"/>
      <c r="E34" s="25"/>
      <c r="F34" s="24"/>
      <c r="G34" s="24"/>
      <c r="H34" s="24"/>
      <c r="I34" s="26"/>
      <c r="J34" s="27"/>
      <c r="K34" s="28">
        <f>SUM(K27:K33)</f>
        <v>0</v>
      </c>
      <c r="L34" s="24"/>
      <c r="M34" s="29"/>
    </row>
    <row r="35" spans="1:13" ht="48" customHeight="1" thickBot="1" x14ac:dyDescent="0.3">
      <c r="A35" s="527" t="s">
        <v>496</v>
      </c>
      <c r="B35" s="102" t="s">
        <v>70</v>
      </c>
      <c r="C35" s="259" t="str">
        <f>VLOOKUP($B35,Activities!$A$10:$P$152,3,FALSE)</f>
        <v>Sourcing, Carting and Spreading of Topsoil over an Area</v>
      </c>
      <c r="D35" s="239" t="s">
        <v>49</v>
      </c>
      <c r="E35" s="242"/>
      <c r="F35" s="19" t="s">
        <v>15</v>
      </c>
      <c r="G35" s="313" t="s">
        <v>51</v>
      </c>
      <c r="H35" s="167" t="s">
        <v>264</v>
      </c>
      <c r="I35" s="350">
        <f>VLOOKUP(H35,U11:V15,2)</f>
        <v>0</v>
      </c>
      <c r="J35" s="269"/>
      <c r="K35" s="387">
        <f>IF(D35="Y",IF(J35="",I35*E35,J35*E35),"")</f>
        <v>0</v>
      </c>
      <c r="L35" s="248" t="str">
        <f>IFERROR(IF(D35="Y",K35/$K$53,0%),"0.0%")</f>
        <v>0.0%</v>
      </c>
      <c r="M35" s="290" t="str">
        <f>VLOOKUP($B35,Activities!$A$10:$S$152,19,FALSE)</f>
        <v>This activity covers the sourcing of topsoil or suitable growth medium, transporting from the source to the required area and then spreading it over that area.</v>
      </c>
    </row>
    <row r="36" spans="1:13" ht="55.5" customHeight="1" thickBot="1" x14ac:dyDescent="0.3">
      <c r="A36" s="528"/>
      <c r="B36" s="102" t="s">
        <v>21</v>
      </c>
      <c r="C36" s="259" t="str">
        <f>VLOOKUP($B36,Activities!$A$10:$P$152,3,FALSE)</f>
        <v>Scarification to promote vegetation growth</v>
      </c>
      <c r="D36" s="239" t="s">
        <v>49</v>
      </c>
      <c r="E36" s="608"/>
      <c r="F36" s="246" t="str">
        <f>VLOOKUP($B36,Activities!$A$10:$P$152,4,FALSE)</f>
        <v>Ha</v>
      </c>
      <c r="G36" s="1269"/>
      <c r="H36" s="1270"/>
      <c r="I36" s="272">
        <f>VLOOKUP($B36,Activities!$A$10:$S$152,16,FALSE)</f>
        <v>323.54530924221694</v>
      </c>
      <c r="J36" s="269"/>
      <c r="K36" s="388">
        <f t="shared" ref="K36:K46" si="4">IF(D36="Y",IF(J36="",I36*E36,J36*E36),0)</f>
        <v>0</v>
      </c>
      <c r="L36" s="248" t="str">
        <f>IFERROR(IF(D36="Y",K36/$K$64,0%),"0.0%")</f>
        <v>0.0%</v>
      </c>
      <c r="M36" s="290" t="str">
        <f>VLOOKUP($B36,Activities!$A$10:$S$152,19,FALSE)</f>
        <v xml:space="preserve">This activity is undertaken in preparation for the seeding of a particular area.  </v>
      </c>
    </row>
    <row r="37" spans="1:13" ht="42.75" customHeight="1" thickBot="1" x14ac:dyDescent="0.3">
      <c r="A37" s="528"/>
      <c r="B37" s="245" t="s">
        <v>626</v>
      </c>
      <c r="C37" s="259" t="str">
        <f>VLOOKUP($B37,Activities!$A$10:$P$152,3,FALSE)</f>
        <v>Purchase and single application of ground ameliorants (e.g. gypsum)</v>
      </c>
      <c r="D37" s="239" t="s">
        <v>49</v>
      </c>
      <c r="E37" s="320"/>
      <c r="F37" s="246" t="str">
        <f>VLOOKUP($B37,Activities!$A$10:$P$152,4,FALSE)</f>
        <v>Ha</v>
      </c>
      <c r="G37" s="1269"/>
      <c r="H37" s="1270"/>
      <c r="I37" s="273">
        <f>VLOOKUP($B37,Activities!$A$10:$S$152,16,FALSE)</f>
        <v>877.38983538153695</v>
      </c>
      <c r="J37" s="269"/>
      <c r="K37" s="388">
        <f t="shared" si="4"/>
        <v>0</v>
      </c>
      <c r="L37" s="248" t="str">
        <f t="shared" ref="L37:L45" si="5">IFERROR(IF(D37="Y",K37/$K$55,0%),"0.0%")</f>
        <v>0.0%</v>
      </c>
      <c r="M37" s="290" t="str">
        <f>VLOOKUP($B37,Activities!$A$10:$S$152,19,FALSE)</f>
        <v>This Activity includes the purchase and single application of ground ameliorants (e.g. gypsum).</v>
      </c>
    </row>
    <row r="38" spans="1:13" ht="42.75" customHeight="1" thickBot="1" x14ac:dyDescent="0.3">
      <c r="A38" s="528"/>
      <c r="B38" s="245" t="s">
        <v>627</v>
      </c>
      <c r="C38" s="259" t="str">
        <f>VLOOKUP($B38,Activities!$A$10:$P$152,3,FALSE)</f>
        <v>The purchase only of non-native pasture grasses</v>
      </c>
      <c r="D38" s="239" t="s">
        <v>49</v>
      </c>
      <c r="E38" s="320"/>
      <c r="F38" s="246" t="str">
        <f>VLOOKUP($B38,Activities!$A$10:$P$152,4,FALSE)</f>
        <v>Ha</v>
      </c>
      <c r="G38" s="1269"/>
      <c r="H38" s="1270"/>
      <c r="I38" s="273">
        <f>VLOOKUP($B38,Activities!$A$10:$S$152,16,FALSE)</f>
        <v>1774.5180283018869</v>
      </c>
      <c r="J38" s="269"/>
      <c r="K38" s="388">
        <f t="shared" si="4"/>
        <v>0</v>
      </c>
      <c r="L38" s="248" t="str">
        <f t="shared" si="5"/>
        <v>0.0%</v>
      </c>
      <c r="M38" s="290" t="str">
        <f>VLOOKUP($B38,Activities!$A$10:$S$152,19,FALSE)</f>
        <v>This activity covers the purchase of non-native pasture grasses</v>
      </c>
    </row>
    <row r="39" spans="1:13" ht="42.75" customHeight="1" thickBot="1" x14ac:dyDescent="0.3">
      <c r="A39" s="528"/>
      <c r="B39" s="245" t="s">
        <v>628</v>
      </c>
      <c r="C39" s="259" t="str">
        <f>VLOOKUP($B39,Activities!$A$10:$P$152,3,FALSE)</f>
        <v>The purchase only of general native seed mix</v>
      </c>
      <c r="D39" s="239" t="s">
        <v>49</v>
      </c>
      <c r="E39" s="320"/>
      <c r="F39" s="246" t="str">
        <f>VLOOKUP($B39,Activities!$A$10:$P$152,4,FALSE)</f>
        <v>Ha</v>
      </c>
      <c r="G39" s="1269"/>
      <c r="H39" s="1270"/>
      <c r="I39" s="273">
        <f>VLOOKUP($B39,Activities!$A$10:$S$152,16,FALSE)</f>
        <v>3439.8717452830197</v>
      </c>
      <c r="J39" s="269"/>
      <c r="K39" s="388">
        <f t="shared" si="4"/>
        <v>0</v>
      </c>
      <c r="L39" s="248" t="str">
        <f t="shared" si="5"/>
        <v>0.0%</v>
      </c>
      <c r="M39" s="290" t="str">
        <f>VLOOKUP($B39,Activities!$A$10:$S$152,19,FALSE)</f>
        <v>This activity covers the purchase of general native seed mix</v>
      </c>
    </row>
    <row r="40" spans="1:13" ht="42.75" customHeight="1" thickBot="1" x14ac:dyDescent="0.3">
      <c r="A40" s="528"/>
      <c r="B40" s="245" t="s">
        <v>629</v>
      </c>
      <c r="C40" s="259" t="str">
        <f>VLOOKUP($B40,Activities!$A$10:$P$152,3,FALSE)</f>
        <v>The purchase only of local provenance native seed mix</v>
      </c>
      <c r="D40" s="239" t="s">
        <v>49</v>
      </c>
      <c r="E40" s="320"/>
      <c r="F40" s="246" t="str">
        <f>VLOOKUP($B40,Activities!$A$10:$P$152,4,FALSE)</f>
        <v>Ha</v>
      </c>
      <c r="G40" s="1269"/>
      <c r="H40" s="1270"/>
      <c r="I40" s="273">
        <f>VLOOKUP($B40,Activities!$A$10:$S$152,16,FALSE)</f>
        <v>10525.680933962265</v>
      </c>
      <c r="J40" s="269"/>
      <c r="K40" s="388">
        <f t="shared" si="4"/>
        <v>0</v>
      </c>
      <c r="L40" s="248" t="str">
        <f t="shared" si="5"/>
        <v>0.0%</v>
      </c>
      <c r="M40" s="290" t="str">
        <f>VLOOKUP($B40,Activities!$A$10:$S$152,19,FALSE)</f>
        <v>This activity covers the purchase of local provenance native seed mix</v>
      </c>
    </row>
    <row r="41" spans="1:13" ht="42.75" customHeight="1" thickBot="1" x14ac:dyDescent="0.3">
      <c r="A41" s="528"/>
      <c r="B41" s="245" t="s">
        <v>630</v>
      </c>
      <c r="C41" s="259" t="str">
        <f>VLOOKUP($B41,Activities!$A$10:$P$152,3,FALSE)</f>
        <v>The purchase only of fertiliser for broadcast application</v>
      </c>
      <c r="D41" s="239" t="s">
        <v>49</v>
      </c>
      <c r="E41" s="320"/>
      <c r="F41" s="246" t="str">
        <f>VLOOKUP($B41,Activities!$A$10:$P$152,4,FALSE)</f>
        <v>Ha</v>
      </c>
      <c r="G41" s="1269"/>
      <c r="H41" s="1270"/>
      <c r="I41" s="273">
        <f>VLOOKUP($B41,Activities!$A$10:$S$152,16,FALSE)</f>
        <v>613.30500000000006</v>
      </c>
      <c r="J41" s="269"/>
      <c r="K41" s="388">
        <f t="shared" si="4"/>
        <v>0</v>
      </c>
      <c r="L41" s="248" t="str">
        <f t="shared" si="5"/>
        <v>0.0%</v>
      </c>
      <c r="M41" s="290" t="str">
        <f>VLOOKUP($B41,Activities!$A$10:$S$152,19,FALSE)</f>
        <v>This activity covers the purchase of local fertiliser for broadcast application.  It does not inlcude the application.</v>
      </c>
    </row>
    <row r="42" spans="1:13" ht="42.75" customHeight="1" thickBot="1" x14ac:dyDescent="0.3">
      <c r="A42" s="528"/>
      <c r="B42" s="245" t="s">
        <v>631</v>
      </c>
      <c r="C42" s="259" t="str">
        <f>VLOOKUP($B42,Activities!$A$10:$P$152,3,FALSE)</f>
        <v>The purchase of native tubestock (including slow release fertiliser)</v>
      </c>
      <c r="D42" s="239" t="s">
        <v>49</v>
      </c>
      <c r="E42" s="320"/>
      <c r="F42" s="246" t="str">
        <f>VLOOKUP($B42,Activities!$A$10:$P$152,4,FALSE)</f>
        <v>Ha</v>
      </c>
      <c r="G42" s="1269"/>
      <c r="H42" s="1270"/>
      <c r="I42" s="273">
        <f>VLOOKUP($B42,Activities!$A$10:$S$152,16,FALSE)</f>
        <v>19729.952830188682</v>
      </c>
      <c r="J42" s="269"/>
      <c r="K42" s="388">
        <f t="shared" si="4"/>
        <v>0</v>
      </c>
      <c r="L42" s="248" t="str">
        <f t="shared" si="5"/>
        <v>0.0%</v>
      </c>
      <c r="M42" s="290" t="str">
        <f>VLOOKUP($B42,Activities!$A$10:$S$152,19,FALSE)</f>
        <v>The Activity includes the purchase of native tubestock (including slow release fertiliser).  It does not include planting.</v>
      </c>
    </row>
    <row r="43" spans="1:13" ht="42.75" customHeight="1" thickBot="1" x14ac:dyDescent="0.3">
      <c r="A43" s="528"/>
      <c r="B43" s="245" t="s">
        <v>632</v>
      </c>
      <c r="C43" s="259" t="str">
        <f>VLOOKUP($B43,Activities!$A$10:$P$152,3,FALSE)</f>
        <v>Direct seeding along rip line or mechanical broadcast seeding</v>
      </c>
      <c r="D43" s="239" t="s">
        <v>49</v>
      </c>
      <c r="E43" s="320"/>
      <c r="F43" s="246" t="str">
        <f>VLOOKUP($B43,Activities!$A$10:$P$152,4,FALSE)</f>
        <v>Ha</v>
      </c>
      <c r="G43" s="1269"/>
      <c r="H43" s="1270"/>
      <c r="I43" s="273">
        <f>VLOOKUP($B43,Activities!$A$10:$S$152,16,FALSE)</f>
        <v>2100.7838269402318</v>
      </c>
      <c r="J43" s="269"/>
      <c r="K43" s="388">
        <f t="shared" si="4"/>
        <v>0</v>
      </c>
      <c r="L43" s="248" t="str">
        <f t="shared" si="5"/>
        <v>0.0%</v>
      </c>
      <c r="M43" s="290" t="str">
        <f>VLOOKUP($B43,Activities!$A$10:$S$152,19,FALSE)</f>
        <v>Sowing of separately purchased seed and or fertiliser for broadcast application that involves scattering seed, by hand or mechanically, over a relatively large area.</v>
      </c>
    </row>
    <row r="44" spans="1:13" ht="42.75" customHeight="1" thickBot="1" x14ac:dyDescent="0.3">
      <c r="A44" s="528"/>
      <c r="B44" s="245" t="s">
        <v>633</v>
      </c>
      <c r="C44" s="259" t="str">
        <f>VLOOKUP($B44,Activities!$A$10:$P$152,3,FALSE)</f>
        <v>Hydromulching (does not include seed or fertiliser)</v>
      </c>
      <c r="D44" s="239" t="s">
        <v>49</v>
      </c>
      <c r="E44" s="240"/>
      <c r="F44" s="246" t="str">
        <f>VLOOKUP($B44,Activities!$A$10:$P$152,4,FALSE)</f>
        <v>Ha</v>
      </c>
      <c r="G44" s="1269"/>
      <c r="H44" s="1270"/>
      <c r="I44" s="273">
        <f>VLOOKUP($B44,Activities!$A$10:$S$152,16,FALSE)</f>
        <v>1583.2664818030244</v>
      </c>
      <c r="J44" s="269"/>
      <c r="K44" s="388">
        <f t="shared" si="4"/>
        <v>0</v>
      </c>
      <c r="L44" s="248" t="str">
        <f t="shared" si="5"/>
        <v>0.0%</v>
      </c>
      <c r="M44" s="290" t="str">
        <f>VLOOKUP($B44,Activities!$A$10:$S$152,19,FALSE)</f>
        <v>Hydromulching planting process that uses a slurry of seed and mulch. It is often used as an erosion control technique as an alternative to the traditional process of broadcasting or sowing dry seed.</v>
      </c>
    </row>
    <row r="45" spans="1:13" ht="42.75" customHeight="1" thickBot="1" x14ac:dyDescent="0.3">
      <c r="A45" s="528"/>
      <c r="B45" s="245" t="s">
        <v>717</v>
      </c>
      <c r="C45" s="259" t="str">
        <f>VLOOKUP($B45,Activities!$A$10:$P$152,3,FALSE)</f>
        <v>Planting of tubestock &lt;15cm (assumes 1,000 plants per hectare)</v>
      </c>
      <c r="D45" s="239" t="s">
        <v>49</v>
      </c>
      <c r="E45" s="240"/>
      <c r="F45" s="246" t="str">
        <f>VLOOKUP($B45,Activities!$A$10:$P$152,4,FALSE)</f>
        <v>Ha</v>
      </c>
      <c r="G45" s="1269"/>
      <c r="H45" s="1270"/>
      <c r="I45" s="273">
        <f>VLOOKUP($B45,Activities!$A$10:$S$152,16,FALSE)</f>
        <v>1714.118869047619</v>
      </c>
      <c r="J45" s="269"/>
      <c r="K45" s="388">
        <f t="shared" si="4"/>
        <v>0</v>
      </c>
      <c r="L45" s="248" t="str">
        <f t="shared" si="5"/>
        <v>0.0%</v>
      </c>
      <c r="M45" s="290" t="str">
        <f>VLOOKUP($B45,Activities!$A$10:$S$152,19,FALSE)</f>
        <v>This Activity covers the hand planting of tubestock plants across a broad area.</v>
      </c>
    </row>
    <row r="46" spans="1:13" ht="60.75" thickBot="1" x14ac:dyDescent="0.3">
      <c r="A46" s="529"/>
      <c r="B46" s="258" t="s">
        <v>25</v>
      </c>
      <c r="C46" s="259" t="str">
        <f>VLOOKUP($B46,Activities!$A$10:$P$152,3,FALSE)</f>
        <v xml:space="preserve">Construction of a stock proof fence including appropriate gates </v>
      </c>
      <c r="D46" s="239" t="s">
        <v>49</v>
      </c>
      <c r="E46" s="240"/>
      <c r="F46" s="246" t="str">
        <f>VLOOKUP($B46,Activities!$A$10:$P$152,4,FALSE)</f>
        <v>km</v>
      </c>
      <c r="G46" s="1269"/>
      <c r="H46" s="1270"/>
      <c r="I46" s="272">
        <f>VLOOKUP($B46,Activities!$A$10:$S$152,16,FALSE)</f>
        <v>13302.992584007126</v>
      </c>
      <c r="J46" s="269"/>
      <c r="K46" s="388">
        <f t="shared" si="4"/>
        <v>0</v>
      </c>
      <c r="L46" s="248" t="str">
        <f>IFERROR(IF(D46="Y",K46/$K$64,0%),"0.0%")</f>
        <v>0.0%</v>
      </c>
      <c r="M46" s="290" t="str">
        <f>VLOOKUP($B46,Activities!$A$10:$S$152,19,FALSE)</f>
        <v>This activity involves the construction of a stock proof fence to protect revegetation against stock and to provide an obstacle to persons to prevent inadvertant access.  It is not designed to prevent a person climbing over it.  It includes an allowance for gates.</v>
      </c>
    </row>
    <row r="47" spans="1:13" ht="15.75" thickBot="1" x14ac:dyDescent="0.3">
      <c r="A47" s="21" t="s">
        <v>53</v>
      </c>
      <c r="B47" s="112" t="str">
        <f>A35</f>
        <v>Topsoil Preparation and Revegetation of Waste Dump Area</v>
      </c>
      <c r="C47" s="23"/>
      <c r="D47" s="24"/>
      <c r="E47" s="25"/>
      <c r="F47" s="24"/>
      <c r="G47" s="24"/>
      <c r="H47" s="24"/>
      <c r="I47" s="26"/>
      <c r="J47" s="27"/>
      <c r="K47" s="28">
        <f>SUM(K35:K46)</f>
        <v>0</v>
      </c>
      <c r="L47" s="24"/>
      <c r="M47" s="29"/>
    </row>
    <row r="48" spans="1:13" ht="46.5" customHeight="1" thickBot="1" x14ac:dyDescent="0.3">
      <c r="A48" s="1361" t="s">
        <v>75</v>
      </c>
      <c r="B48" s="37"/>
      <c r="C48" s="218" t="s">
        <v>55</v>
      </c>
      <c r="D48" s="239" t="s">
        <v>49</v>
      </c>
      <c r="E48" s="346"/>
      <c r="F48" s="296"/>
      <c r="G48" s="1269"/>
      <c r="H48" s="1270"/>
      <c r="I48" s="355" t="s">
        <v>475</v>
      </c>
      <c r="J48" s="269"/>
      <c r="K48" s="387">
        <f>IF(D48="Y",J48*E48,"")</f>
        <v>0</v>
      </c>
      <c r="L48" s="248" t="str">
        <f>IFERROR(IF(D48="Y",K48/$K$53,0%),"0.0%")</f>
        <v>0.0%</v>
      </c>
      <c r="M48" s="139" t="s">
        <v>56</v>
      </c>
    </row>
    <row r="49" spans="1:13" ht="46.5" customHeight="1" thickBot="1" x14ac:dyDescent="0.3">
      <c r="A49" s="1361"/>
      <c r="B49" s="37"/>
      <c r="C49" s="218" t="s">
        <v>55</v>
      </c>
      <c r="D49" s="239" t="s">
        <v>49</v>
      </c>
      <c r="E49" s="346"/>
      <c r="F49" s="296"/>
      <c r="G49" s="1269"/>
      <c r="H49" s="1270"/>
      <c r="I49" s="355" t="s">
        <v>475</v>
      </c>
      <c r="J49" s="269"/>
      <c r="K49" s="387">
        <f>IF(D49="Y",J49*E49,"")</f>
        <v>0</v>
      </c>
      <c r="L49" s="248" t="str">
        <f>IFERROR(IF(D49="Y",K49/$K$53,0%),"0.0%")</f>
        <v>0.0%</v>
      </c>
      <c r="M49" s="139" t="s">
        <v>56</v>
      </c>
    </row>
    <row r="50" spans="1:13" ht="46.5" customHeight="1" thickBot="1" x14ac:dyDescent="0.3">
      <c r="A50" s="1361"/>
      <c r="B50" s="37"/>
      <c r="C50" s="218" t="s">
        <v>55</v>
      </c>
      <c r="D50" s="239" t="s">
        <v>49</v>
      </c>
      <c r="E50" s="346"/>
      <c r="F50" s="296"/>
      <c r="G50" s="1269"/>
      <c r="H50" s="1270"/>
      <c r="I50" s="355" t="s">
        <v>475</v>
      </c>
      <c r="J50" s="269"/>
      <c r="K50" s="387">
        <f>IF(D50="Y",J50*E50,"")</f>
        <v>0</v>
      </c>
      <c r="L50" s="248" t="str">
        <f>IFERROR(IF(D50="Y",K50/$K$53,0%),"0.0%")</f>
        <v>0.0%</v>
      </c>
      <c r="M50" s="139" t="s">
        <v>56</v>
      </c>
    </row>
    <row r="51" spans="1:13" ht="15.75" thickBot="1" x14ac:dyDescent="0.3">
      <c r="A51" s="21" t="s">
        <v>53</v>
      </c>
      <c r="B51" s="112" t="str">
        <f>A48</f>
        <v>Other Activity in Waste Dump Area</v>
      </c>
      <c r="C51" s="23"/>
      <c r="D51" s="24"/>
      <c r="E51" s="25"/>
      <c r="F51" s="24"/>
      <c r="G51" s="24"/>
      <c r="H51" s="24"/>
      <c r="I51" s="26"/>
      <c r="J51" s="27"/>
      <c r="K51" s="28">
        <f>SUM(K48:K50)</f>
        <v>0</v>
      </c>
      <c r="L51" s="24"/>
      <c r="M51" s="29"/>
    </row>
    <row r="52" spans="1:13" x14ac:dyDescent="0.25">
      <c r="A52" s="3"/>
      <c r="B52" s="3"/>
      <c r="C52" s="30"/>
      <c r="D52" s="9"/>
      <c r="E52" s="31"/>
      <c r="F52" s="9"/>
      <c r="G52" s="9"/>
      <c r="H52" s="9"/>
      <c r="I52" s="32"/>
      <c r="J52" s="2"/>
      <c r="K52" s="77"/>
      <c r="L52" s="9"/>
      <c r="M52" s="30"/>
    </row>
    <row r="53" spans="1:13" ht="21" x14ac:dyDescent="0.25">
      <c r="A53" s="3"/>
      <c r="B53" s="3"/>
      <c r="C53" s="30"/>
      <c r="D53" s="9"/>
      <c r="E53" s="31"/>
      <c r="F53" s="9"/>
      <c r="G53" s="9"/>
      <c r="H53" s="9"/>
      <c r="J53" s="34" t="s">
        <v>926</v>
      </c>
      <c r="K53" s="35">
        <f>K51+K47+K34+K26+K23</f>
        <v>0</v>
      </c>
      <c r="L53" s="9"/>
      <c r="M53" s="30"/>
    </row>
    <row r="54" spans="1:13" x14ac:dyDescent="0.25">
      <c r="A54" s="3"/>
      <c r="B54" s="3"/>
      <c r="C54" s="30"/>
      <c r="D54" s="9"/>
      <c r="E54" s="31"/>
      <c r="F54" s="9"/>
      <c r="G54" s="9"/>
      <c r="H54" s="9"/>
      <c r="I54" s="32"/>
      <c r="J54" s="2"/>
      <c r="K54" s="77"/>
      <c r="L54" s="9"/>
      <c r="M54" s="30"/>
    </row>
    <row r="55" spans="1:13" x14ac:dyDescent="0.25">
      <c r="A55" s="3"/>
      <c r="B55" s="3"/>
      <c r="C55" s="30"/>
      <c r="D55" s="9"/>
      <c r="E55" s="31"/>
      <c r="F55" s="9"/>
      <c r="G55" s="9"/>
      <c r="H55" s="9"/>
      <c r="I55" s="32"/>
      <c r="J55" s="2"/>
      <c r="K55" s="77"/>
      <c r="L55" s="9"/>
      <c r="M55" s="30"/>
    </row>
    <row r="56" spans="1:13" x14ac:dyDescent="0.25">
      <c r="A56" s="3"/>
      <c r="B56" s="3"/>
      <c r="C56" s="30"/>
      <c r="D56" s="9"/>
      <c r="E56" s="9"/>
      <c r="F56" s="9"/>
      <c r="G56" s="9"/>
      <c r="H56" s="9"/>
      <c r="I56" s="32"/>
      <c r="J56" s="2"/>
      <c r="K56" s="77"/>
      <c r="L56" s="9"/>
      <c r="M56" s="30"/>
    </row>
    <row r="57" spans="1:13" x14ac:dyDescent="0.25">
      <c r="A57" s="3"/>
      <c r="B57" s="3"/>
      <c r="C57" s="30"/>
      <c r="D57" s="9"/>
      <c r="E57" s="9"/>
      <c r="F57" s="9"/>
      <c r="G57" s="9"/>
      <c r="H57" s="9"/>
      <c r="I57" s="32"/>
      <c r="J57" s="2"/>
      <c r="K57" s="77"/>
      <c r="L57" s="9"/>
      <c r="M57" s="30"/>
    </row>
    <row r="58" spans="1:13" x14ac:dyDescent="0.25">
      <c r="C58" s="30"/>
      <c r="D58" s="9"/>
      <c r="E58" s="9"/>
      <c r="F58" s="9"/>
      <c r="G58" s="9"/>
      <c r="H58" s="9"/>
      <c r="I58" s="32"/>
      <c r="J58" s="2"/>
      <c r="K58" s="9"/>
      <c r="L58" s="9"/>
      <c r="M58" s="30"/>
    </row>
    <row r="59" spans="1:13" x14ac:dyDescent="0.25">
      <c r="C59" s="30"/>
      <c r="D59" s="9"/>
      <c r="E59" s="9"/>
      <c r="F59" s="9"/>
      <c r="G59" s="9"/>
      <c r="H59" s="9"/>
      <c r="I59" s="32"/>
      <c r="J59" s="2"/>
      <c r="K59" s="9"/>
      <c r="L59" s="9"/>
      <c r="M59" s="30"/>
    </row>
    <row r="60" spans="1:13" x14ac:dyDescent="0.25">
      <c r="C60" s="30"/>
      <c r="D60" s="9"/>
      <c r="E60" s="9"/>
      <c r="F60" s="9"/>
      <c r="G60" s="9"/>
      <c r="H60" s="9"/>
      <c r="I60" s="9"/>
      <c r="J60" s="9"/>
      <c r="K60" s="9"/>
      <c r="L60" s="9"/>
      <c r="M60" s="30"/>
    </row>
    <row r="61" spans="1:13" x14ac:dyDescent="0.25">
      <c r="D61" s="9"/>
      <c r="E61" s="9"/>
      <c r="F61" s="9"/>
      <c r="G61" s="9"/>
      <c r="H61" s="9"/>
      <c r="I61" s="9"/>
      <c r="J61" s="9"/>
      <c r="K61" s="9"/>
      <c r="L61" s="9"/>
    </row>
    <row r="62" spans="1:13" x14ac:dyDescent="0.25">
      <c r="D62" s="9"/>
      <c r="E62" s="9"/>
      <c r="F62" s="9"/>
      <c r="G62" s="9"/>
      <c r="H62" s="9"/>
      <c r="I62" s="9"/>
      <c r="J62" s="9"/>
      <c r="K62" s="9"/>
      <c r="L62" s="9"/>
    </row>
    <row r="63" spans="1:13" x14ac:dyDescent="0.25">
      <c r="D63" s="9"/>
      <c r="E63" s="9"/>
      <c r="F63" s="9"/>
      <c r="G63" s="9"/>
      <c r="H63" s="9"/>
      <c r="I63" s="9"/>
      <c r="J63" s="9"/>
      <c r="K63" s="9"/>
      <c r="L63" s="9"/>
    </row>
    <row r="64" spans="1:13" x14ac:dyDescent="0.25">
      <c r="D64" s="9"/>
      <c r="E64" s="9"/>
      <c r="F64" s="9"/>
      <c r="G64" s="9"/>
      <c r="H64" s="9"/>
      <c r="I64" s="9"/>
      <c r="J64" s="9"/>
      <c r="K64" s="9"/>
      <c r="L64" s="9"/>
    </row>
    <row r="65" spans="4:12" x14ac:dyDescent="0.25">
      <c r="D65" s="9"/>
      <c r="E65" s="9"/>
      <c r="F65" s="9"/>
      <c r="G65" s="9"/>
      <c r="H65" s="9"/>
      <c r="I65" s="9"/>
      <c r="J65" s="9"/>
      <c r="K65" s="9"/>
      <c r="L65" s="9"/>
    </row>
    <row r="66" spans="4:12" x14ac:dyDescent="0.25">
      <c r="D66" s="9"/>
      <c r="E66" s="9"/>
      <c r="F66" s="9"/>
      <c r="G66" s="9"/>
      <c r="H66" s="9"/>
      <c r="I66" s="9"/>
      <c r="J66" s="9"/>
      <c r="K66" s="9"/>
      <c r="L66" s="9"/>
    </row>
    <row r="67" spans="4:12" x14ac:dyDescent="0.25">
      <c r="D67" s="9"/>
      <c r="E67" s="9"/>
      <c r="F67" s="9"/>
      <c r="G67" s="9"/>
      <c r="H67" s="9"/>
      <c r="I67" s="9"/>
      <c r="J67" s="9"/>
      <c r="K67" s="9"/>
      <c r="L67" s="9"/>
    </row>
    <row r="68" spans="4:12" x14ac:dyDescent="0.25">
      <c r="D68" s="9"/>
      <c r="E68" s="9"/>
      <c r="F68" s="9"/>
      <c r="G68" s="9"/>
      <c r="H68" s="9"/>
      <c r="I68" s="9"/>
      <c r="J68" s="9"/>
      <c r="K68" s="9"/>
      <c r="L68" s="9"/>
    </row>
    <row r="69" spans="4:12" x14ac:dyDescent="0.25">
      <c r="D69" s="9"/>
      <c r="E69" s="9"/>
      <c r="F69" s="9"/>
      <c r="G69" s="9"/>
      <c r="H69" s="9"/>
      <c r="I69" s="9"/>
      <c r="J69" s="9"/>
      <c r="K69" s="9"/>
      <c r="L69" s="9"/>
    </row>
    <row r="70" spans="4:12" x14ac:dyDescent="0.25">
      <c r="D70" s="9"/>
      <c r="E70" s="9"/>
      <c r="F70" s="9"/>
      <c r="G70" s="9"/>
      <c r="H70" s="9"/>
      <c r="I70" s="9"/>
      <c r="J70" s="9"/>
      <c r="K70" s="9"/>
      <c r="L70" s="9"/>
    </row>
    <row r="71" spans="4:12" x14ac:dyDescent="0.25">
      <c r="D71" s="9"/>
      <c r="E71" s="9"/>
      <c r="F71" s="9"/>
      <c r="G71" s="9"/>
      <c r="H71" s="9"/>
      <c r="I71" s="9"/>
      <c r="J71" s="9"/>
      <c r="K71" s="9"/>
      <c r="L71" s="9"/>
    </row>
    <row r="72" spans="4:12" x14ac:dyDescent="0.25">
      <c r="D72" s="9"/>
      <c r="E72" s="9"/>
      <c r="F72" s="9"/>
      <c r="G72" s="9"/>
      <c r="H72" s="9"/>
      <c r="I72" s="9"/>
      <c r="J72" s="9"/>
      <c r="K72" s="9"/>
      <c r="L72" s="9"/>
    </row>
  </sheetData>
  <sheetProtection algorithmName="SHA-512" hashValue="i6RSF0sE3WOZu5a6YFWbTCzQFg85TjuA6kakFKcClQs8jFbpWLD3mN3pKY6hkk5lvuqaM4xy4u2XvVV6cHP2Ag==" saltValue="y/z78i0Dh/UBFsGAG/C5jA==" spinCount="100000" sheet="1" formatCells="0" formatRows="0" selectLockedCells="1"/>
  <mergeCells count="50">
    <mergeCell ref="G44:H44"/>
    <mergeCell ref="G45:H45"/>
    <mergeCell ref="G46:H46"/>
    <mergeCell ref="G36:H36"/>
    <mergeCell ref="G39:H39"/>
    <mergeCell ref="G40:H40"/>
    <mergeCell ref="G41:H41"/>
    <mergeCell ref="G37:H37"/>
    <mergeCell ref="G38:H38"/>
    <mergeCell ref="G42:H42"/>
    <mergeCell ref="G43:H43"/>
    <mergeCell ref="A27:A33"/>
    <mergeCell ref="G27:H27"/>
    <mergeCell ref="G28:H28"/>
    <mergeCell ref="G29:H29"/>
    <mergeCell ref="G31:H31"/>
    <mergeCell ref="G32:H32"/>
    <mergeCell ref="G33:H33"/>
    <mergeCell ref="L20:M20"/>
    <mergeCell ref="G21:H21"/>
    <mergeCell ref="A24:A25"/>
    <mergeCell ref="G24:H24"/>
    <mergeCell ref="G25:H25"/>
    <mergeCell ref="B8:E8"/>
    <mergeCell ref="G8:M19"/>
    <mergeCell ref="B9:E9"/>
    <mergeCell ref="A15:B15"/>
    <mergeCell ref="C15:E15"/>
    <mergeCell ref="A16:E19"/>
    <mergeCell ref="B10:E10"/>
    <mergeCell ref="B11:E11"/>
    <mergeCell ref="B12:E12"/>
    <mergeCell ref="A14:B14"/>
    <mergeCell ref="C14:E14"/>
    <mergeCell ref="R1:V1"/>
    <mergeCell ref="R9:V9"/>
    <mergeCell ref="A48:A50"/>
    <mergeCell ref="G48:H48"/>
    <mergeCell ref="G49:H49"/>
    <mergeCell ref="G50:H50"/>
    <mergeCell ref="C3:E3"/>
    <mergeCell ref="A1:B1"/>
    <mergeCell ref="C1:E1"/>
    <mergeCell ref="K1:L1"/>
    <mergeCell ref="C2:E2"/>
    <mergeCell ref="F1:J3"/>
    <mergeCell ref="A5:E6"/>
    <mergeCell ref="G5:J5"/>
    <mergeCell ref="G6:M7"/>
    <mergeCell ref="B7:E7"/>
  </mergeCells>
  <dataValidations count="3">
    <dataValidation type="list" allowBlank="1" showInputMessage="1" showErrorMessage="1" sqref="H35" xr:uid="{00000000-0002-0000-0D00-000000000000}">
      <formula1>$U$11:$U$15</formula1>
    </dataValidation>
    <dataValidation type="list" allowBlank="1" showInputMessage="1" showErrorMessage="1" sqref="H30" xr:uid="{00000000-0002-0000-0D00-000001000000}">
      <formula1>$U$3:$U$7</formula1>
    </dataValidation>
    <dataValidation type="list" allowBlank="1" showInputMessage="1" showErrorMessage="1" sqref="H22" xr:uid="{00000000-0002-0000-0D00-000002000000}">
      <formula1>$X$2:$X$4</formula1>
    </dataValidation>
  </dataValidations>
  <pageMargins left="0.70866141732283472" right="0.70866141732283472" top="0.74803149606299213" bottom="0.74803149606299213" header="0.31496062992125984" footer="0.31496062992125984"/>
  <pageSetup paperSize="9" scale="54" fitToHeight="3" orientation="landscape" r:id="rId1"/>
  <headerFooter>
    <oddHeader>&amp;LDepartment for Energy and Mining&amp;C&amp;"Arial"&amp;12&amp;KA80000 OFFICIAL&amp;1#_x000D_</oddHeader>
    <oddFooter>&amp;L&amp;Z
&amp;F&amp;C&amp;P&amp;R&amp;D</oddFoot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Z94"/>
  <sheetViews>
    <sheetView showGridLines="0" zoomScale="90" zoomScaleNormal="90" workbookViewId="0">
      <selection activeCell="G8" sqref="G8:M19"/>
    </sheetView>
  </sheetViews>
  <sheetFormatPr defaultColWidth="9.140625" defaultRowHeight="15" x14ac:dyDescent="0.25"/>
  <cols>
    <col min="1" max="1" width="18.5703125" style="233" customWidth="1"/>
    <col min="2" max="2" width="10.42578125" style="233" customWidth="1"/>
    <col min="3" max="3" width="38.42578125" style="233" customWidth="1"/>
    <col min="4" max="4" width="13.5703125" style="233" customWidth="1"/>
    <col min="5" max="5" width="11" style="233" customWidth="1"/>
    <col min="6" max="6" width="9.140625" style="233"/>
    <col min="7" max="7" width="21.5703125" style="233" customWidth="1"/>
    <col min="8" max="8" width="15" style="233" customWidth="1"/>
    <col min="9" max="9" width="12.28515625" style="233" customWidth="1"/>
    <col min="10" max="10" width="12.140625" style="233" customWidth="1"/>
    <col min="11" max="11" width="16.7109375" style="233" customWidth="1"/>
    <col min="12" max="12" width="13.5703125" style="233" customWidth="1"/>
    <col min="13" max="13" width="63.85546875" style="233" customWidth="1"/>
    <col min="14" max="16" width="9.140625" style="233"/>
    <col min="17" max="17" width="13.140625" style="233" customWidth="1"/>
    <col min="18" max="18" width="9.140625" style="233"/>
    <col min="19" max="19" width="16.28515625" style="233" customWidth="1"/>
    <col min="20" max="21" width="9.140625" style="233"/>
    <col min="22" max="22" width="12.42578125" style="233" customWidth="1"/>
    <col min="23" max="23" width="9.140625" style="233"/>
    <col min="24" max="24" width="15.7109375" style="233" bestFit="1" customWidth="1"/>
    <col min="25" max="25" width="21.140625" style="233" customWidth="1"/>
    <col min="26" max="26" width="22.42578125" style="233" customWidth="1"/>
    <col min="27" max="27" width="12.28515625" style="233" customWidth="1"/>
    <col min="28" max="16384" width="9.140625" style="233"/>
  </cols>
  <sheetData>
    <row r="1" spans="1:22" ht="48" customHeight="1" x14ac:dyDescent="0.25">
      <c r="A1" s="1322" t="s">
        <v>497</v>
      </c>
      <c r="B1" s="1323"/>
      <c r="C1" s="1324" t="str">
        <f>'Summary Page'!E13</f>
        <v/>
      </c>
      <c r="D1" s="1325"/>
      <c r="E1" s="1326"/>
      <c r="F1" s="1360"/>
      <c r="G1" s="1285"/>
      <c r="H1" s="1285"/>
      <c r="I1" s="1285"/>
      <c r="J1" s="1286"/>
      <c r="K1" s="1295" t="s">
        <v>460</v>
      </c>
      <c r="L1" s="1295"/>
      <c r="M1" s="459"/>
      <c r="P1" s="525" t="s">
        <v>16</v>
      </c>
      <c r="Q1" s="526" t="s">
        <v>19</v>
      </c>
      <c r="R1" s="1273" t="str">
        <f>C36</f>
        <v>Load and haul of mined, processed, stockpiled materials or topsoil</v>
      </c>
      <c r="S1" s="1274"/>
      <c r="T1" s="1274"/>
      <c r="U1" s="1274"/>
      <c r="V1" s="1275"/>
    </row>
    <row r="2" spans="1:22" ht="21" x14ac:dyDescent="0.35">
      <c r="A2" s="368" t="s">
        <v>461</v>
      </c>
      <c r="B2" s="325">
        <v>5</v>
      </c>
      <c r="C2" s="1296" t="str">
        <f>'Summary Page'!E19</f>
        <v/>
      </c>
      <c r="D2" s="1297"/>
      <c r="E2" s="1348"/>
      <c r="F2" s="1287"/>
      <c r="G2" s="1288"/>
      <c r="H2" s="1288"/>
      <c r="I2" s="1288"/>
      <c r="J2" s="1289"/>
      <c r="K2" s="326"/>
      <c r="L2" s="327" t="s">
        <v>152</v>
      </c>
      <c r="M2" s="328">
        <f>K66</f>
        <v>0</v>
      </c>
      <c r="P2" s="297" t="s">
        <v>61</v>
      </c>
      <c r="Q2" s="371" t="s">
        <v>58</v>
      </c>
      <c r="R2" s="371" t="s">
        <v>59</v>
      </c>
      <c r="S2" s="371" t="s">
        <v>60</v>
      </c>
      <c r="T2" s="371" t="s">
        <v>53</v>
      </c>
      <c r="U2" s="372" t="s">
        <v>61</v>
      </c>
      <c r="V2" s="373" t="s">
        <v>53</v>
      </c>
    </row>
    <row r="3" spans="1:22" ht="21" x14ac:dyDescent="0.25">
      <c r="A3" s="329" t="s">
        <v>267</v>
      </c>
      <c r="B3" s="330">
        <f>'Version Control'!B50</f>
        <v>7</v>
      </c>
      <c r="C3" s="1356"/>
      <c r="D3" s="1357"/>
      <c r="E3" s="1358"/>
      <c r="F3" s="1290"/>
      <c r="G3" s="1291"/>
      <c r="H3" s="1291"/>
      <c r="I3" s="1291"/>
      <c r="J3" s="1292"/>
      <c r="K3" s="331"/>
      <c r="L3" s="332" t="s">
        <v>462</v>
      </c>
      <c r="M3" s="333">
        <f>'Summary Page'!J73</f>
        <v>0</v>
      </c>
      <c r="P3" s="374" t="s">
        <v>35</v>
      </c>
      <c r="Q3" s="357">
        <f>VLOOKUP(P1,Activities!$A$10:$Q$152,16,FALSE)</f>
        <v>1.1086505828514972</v>
      </c>
      <c r="R3" s="357">
        <f>VLOOKUP(Q1,Activities!$A$10:$Q$152,16,FALSE)</f>
        <v>1.1303836975020005</v>
      </c>
      <c r="S3" s="376">
        <v>1</v>
      </c>
      <c r="T3" s="375">
        <f>R3+Q3</f>
        <v>2.2390342803534979</v>
      </c>
      <c r="U3" s="235" t="s">
        <v>35</v>
      </c>
      <c r="V3" s="377">
        <f>T3</f>
        <v>2.2390342803534979</v>
      </c>
    </row>
    <row r="4" spans="1:22" ht="15" customHeight="1" x14ac:dyDescent="0.25">
      <c r="A4" s="334" t="s">
        <v>463</v>
      </c>
      <c r="B4" s="335">
        <f>'Version Control'!A50</f>
        <v>45531</v>
      </c>
      <c r="K4" s="294"/>
      <c r="L4" s="336" t="s">
        <v>464</v>
      </c>
      <c r="M4" s="337" t="e">
        <f>M2/M3</f>
        <v>#DIV/0!</v>
      </c>
      <c r="P4" s="374" t="s">
        <v>36</v>
      </c>
      <c r="Q4" s="357">
        <f>Q3</f>
        <v>1.1086505828514972</v>
      </c>
      <c r="R4" s="375">
        <f>R3*2</f>
        <v>2.260767395004001</v>
      </c>
      <c r="S4" s="376">
        <v>0.8</v>
      </c>
      <c r="T4" s="375">
        <f>Q4+(R4*S4)</f>
        <v>2.9172644988546983</v>
      </c>
      <c r="U4" s="235" t="s">
        <v>36</v>
      </c>
      <c r="V4" s="377">
        <f>T4</f>
        <v>2.9172644988546983</v>
      </c>
    </row>
    <row r="5" spans="1:22" ht="15" customHeight="1" x14ac:dyDescent="0.25">
      <c r="A5" s="1349" t="s">
        <v>465</v>
      </c>
      <c r="B5" s="1298"/>
      <c r="C5" s="1298"/>
      <c r="D5" s="1298"/>
      <c r="E5" s="1299"/>
      <c r="G5" s="1302" t="s">
        <v>466</v>
      </c>
      <c r="H5" s="1303"/>
      <c r="I5" s="1303"/>
      <c r="J5" s="1304"/>
      <c r="P5" s="374" t="s">
        <v>37</v>
      </c>
      <c r="Q5" s="357">
        <f t="shared" ref="Q5:Q6" si="0">Q4</f>
        <v>1.1086505828514972</v>
      </c>
      <c r="R5" s="375">
        <f>R3*4</f>
        <v>4.5215347900080021</v>
      </c>
      <c r="S5" s="376">
        <v>0.7</v>
      </c>
      <c r="T5" s="375">
        <f>Q5+(R5*S5)</f>
        <v>4.2737249358570981</v>
      </c>
      <c r="U5" s="235" t="s">
        <v>37</v>
      </c>
      <c r="V5" s="377">
        <f>T5</f>
        <v>4.2737249358570981</v>
      </c>
    </row>
    <row r="6" spans="1:22" ht="21" customHeight="1" x14ac:dyDescent="0.25">
      <c r="A6" s="1350"/>
      <c r="B6" s="1351"/>
      <c r="C6" s="1351"/>
      <c r="D6" s="1351"/>
      <c r="E6" s="1352"/>
      <c r="F6" s="299"/>
      <c r="G6" s="1305" t="s">
        <v>484</v>
      </c>
      <c r="H6" s="1306"/>
      <c r="I6" s="1306"/>
      <c r="J6" s="1306"/>
      <c r="K6" s="1306"/>
      <c r="L6" s="1306"/>
      <c r="M6" s="1307"/>
      <c r="P6" s="374" t="s">
        <v>38</v>
      </c>
      <c r="Q6" s="357">
        <f t="shared" si="0"/>
        <v>1.1086505828514972</v>
      </c>
      <c r="R6" s="375">
        <f>R3*8</f>
        <v>9.0430695800160041</v>
      </c>
      <c r="S6" s="376">
        <v>0.6</v>
      </c>
      <c r="T6" s="375">
        <f>Q6+(R6*S6)</f>
        <v>6.5344923308610987</v>
      </c>
      <c r="U6" s="235" t="s">
        <v>244</v>
      </c>
      <c r="V6" s="377">
        <f>T6</f>
        <v>6.5344923308610987</v>
      </c>
    </row>
    <row r="7" spans="1:22" ht="15" customHeight="1" x14ac:dyDescent="0.25">
      <c r="A7" s="348">
        <v>1</v>
      </c>
      <c r="B7" s="1353" t="s">
        <v>501</v>
      </c>
      <c r="C7" s="1354"/>
      <c r="D7" s="1354"/>
      <c r="E7" s="1355"/>
      <c r="F7" s="339"/>
      <c r="G7" s="1308"/>
      <c r="H7" s="1309"/>
      <c r="I7" s="1309"/>
      <c r="J7" s="1309"/>
      <c r="K7" s="1309"/>
      <c r="L7" s="1309"/>
      <c r="M7" s="1310"/>
      <c r="P7" s="238"/>
      <c r="Q7" s="236"/>
      <c r="R7" s="236"/>
      <c r="S7" s="236"/>
      <c r="T7" s="236"/>
      <c r="U7" s="236" t="s">
        <v>264</v>
      </c>
      <c r="V7" s="237"/>
    </row>
    <row r="8" spans="1:22" ht="18.75" customHeight="1" x14ac:dyDescent="0.3">
      <c r="A8" s="297">
        <v>2</v>
      </c>
      <c r="B8" s="1340" t="s">
        <v>663</v>
      </c>
      <c r="C8" s="1341"/>
      <c r="D8" s="1341"/>
      <c r="E8" s="1342"/>
      <c r="F8" s="339"/>
      <c r="G8" s="1137"/>
      <c r="H8" s="1138"/>
      <c r="I8" s="1138"/>
      <c r="J8" s="1138"/>
      <c r="K8" s="1138"/>
      <c r="L8" s="1138"/>
      <c r="M8" s="1139"/>
      <c r="P8" s="370" t="str">
        <f>B43</f>
        <v>A1006</v>
      </c>
      <c r="Q8" s="550" t="s">
        <v>19</v>
      </c>
      <c r="R8" s="1273" t="s">
        <v>893</v>
      </c>
      <c r="S8" s="1274"/>
      <c r="T8" s="1274"/>
      <c r="U8" s="1274"/>
      <c r="V8" s="1275"/>
    </row>
    <row r="9" spans="1:22" x14ac:dyDescent="0.25">
      <c r="A9" s="297">
        <v>3</v>
      </c>
      <c r="B9" s="1343" t="s">
        <v>502</v>
      </c>
      <c r="C9" s="1344"/>
      <c r="D9" s="1344"/>
      <c r="E9" s="1345"/>
      <c r="F9" s="339"/>
      <c r="G9" s="1140"/>
      <c r="H9" s="1141"/>
      <c r="I9" s="1141"/>
      <c r="J9" s="1141"/>
      <c r="K9" s="1141"/>
      <c r="L9" s="1141"/>
      <c r="M9" s="1142"/>
      <c r="P9" s="297" t="s">
        <v>61</v>
      </c>
      <c r="Q9" s="371" t="s">
        <v>58</v>
      </c>
      <c r="R9" s="371" t="s">
        <v>59</v>
      </c>
      <c r="S9" s="371" t="s">
        <v>60</v>
      </c>
      <c r="T9" s="371" t="s">
        <v>53</v>
      </c>
      <c r="U9" s="372" t="s">
        <v>61</v>
      </c>
      <c r="V9" s="373" t="s">
        <v>53</v>
      </c>
    </row>
    <row r="10" spans="1:22" ht="15" customHeight="1" x14ac:dyDescent="0.25">
      <c r="A10" s="297">
        <v>4</v>
      </c>
      <c r="B10" s="1327"/>
      <c r="C10" s="1327"/>
      <c r="D10" s="1327"/>
      <c r="E10" s="1328"/>
      <c r="F10" s="339"/>
      <c r="G10" s="1140"/>
      <c r="H10" s="1141"/>
      <c r="I10" s="1141"/>
      <c r="J10" s="1141"/>
      <c r="K10" s="1141"/>
      <c r="L10" s="1141"/>
      <c r="M10" s="1142"/>
      <c r="P10" s="374" t="s">
        <v>35</v>
      </c>
      <c r="Q10" s="357">
        <f>VLOOKUP(P8,Activities!$A$10:$Q$152,16,FALSE)</f>
        <v>1.1086505828514972</v>
      </c>
      <c r="R10" s="357">
        <f>VLOOKUP(Q8,Activities!$A$10:$Q$152,16,FALSE)</f>
        <v>1.1303836975020005</v>
      </c>
      <c r="S10" s="376">
        <v>1</v>
      </c>
      <c r="T10" s="375">
        <f>R10+Q10</f>
        <v>2.2390342803534979</v>
      </c>
      <c r="U10" s="235" t="s">
        <v>35</v>
      </c>
      <c r="V10" s="377">
        <f>T10</f>
        <v>2.2390342803534979</v>
      </c>
    </row>
    <row r="11" spans="1:22" ht="15" customHeight="1" x14ac:dyDescent="0.25">
      <c r="A11" s="297">
        <v>5</v>
      </c>
      <c r="B11" s="1330"/>
      <c r="C11" s="1331"/>
      <c r="D11" s="1331"/>
      <c r="E11" s="1332"/>
      <c r="F11" s="339"/>
      <c r="G11" s="1140"/>
      <c r="H11" s="1141"/>
      <c r="I11" s="1141"/>
      <c r="J11" s="1141"/>
      <c r="K11" s="1141"/>
      <c r="L11" s="1141"/>
      <c r="M11" s="1142"/>
      <c r="P11" s="374" t="s">
        <v>36</v>
      </c>
      <c r="Q11" s="375">
        <f>Q10</f>
        <v>1.1086505828514972</v>
      </c>
      <c r="R11" s="375">
        <f>R10*2</f>
        <v>2.260767395004001</v>
      </c>
      <c r="S11" s="376">
        <v>0.8</v>
      </c>
      <c r="T11" s="375">
        <f>Q11+(R11*S11)</f>
        <v>2.9172644988546983</v>
      </c>
      <c r="U11" s="235" t="s">
        <v>36</v>
      </c>
      <c r="V11" s="377">
        <f>T11</f>
        <v>2.9172644988546983</v>
      </c>
    </row>
    <row r="12" spans="1:22" ht="15" customHeight="1" x14ac:dyDescent="0.25">
      <c r="A12" s="305">
        <v>6</v>
      </c>
      <c r="B12" s="1282"/>
      <c r="C12" s="1282"/>
      <c r="D12" s="1282"/>
      <c r="E12" s="1283"/>
      <c r="G12" s="1140"/>
      <c r="H12" s="1141"/>
      <c r="I12" s="1141"/>
      <c r="J12" s="1141"/>
      <c r="K12" s="1141"/>
      <c r="L12" s="1141"/>
      <c r="M12" s="1142"/>
      <c r="P12" s="374" t="s">
        <v>37</v>
      </c>
      <c r="Q12" s="375">
        <f t="shared" ref="Q12:Q13" si="1">Q11</f>
        <v>1.1086505828514972</v>
      </c>
      <c r="R12" s="375">
        <f>R10*4</f>
        <v>4.5215347900080021</v>
      </c>
      <c r="S12" s="376">
        <v>0.7</v>
      </c>
      <c r="T12" s="375">
        <f>Q12+(R12*S12)</f>
        <v>4.2737249358570981</v>
      </c>
      <c r="U12" s="235" t="s">
        <v>37</v>
      </c>
      <c r="V12" s="377">
        <f>T12</f>
        <v>4.2737249358570981</v>
      </c>
    </row>
    <row r="13" spans="1:22" ht="15" customHeight="1" x14ac:dyDescent="0.25">
      <c r="A13" s="340" t="s">
        <v>34</v>
      </c>
      <c r="G13" s="1140"/>
      <c r="H13" s="1141"/>
      <c r="I13" s="1141"/>
      <c r="J13" s="1141"/>
      <c r="K13" s="1141"/>
      <c r="L13" s="1141"/>
      <c r="M13" s="1142"/>
      <c r="P13" s="374" t="s">
        <v>38</v>
      </c>
      <c r="Q13" s="375">
        <f t="shared" si="1"/>
        <v>1.1086505828514972</v>
      </c>
      <c r="R13" s="375">
        <f>R10*8</f>
        <v>9.0430695800160041</v>
      </c>
      <c r="S13" s="376">
        <v>0.6</v>
      </c>
      <c r="T13" s="375">
        <f>Q13+(R13*S13)</f>
        <v>6.5344923308610987</v>
      </c>
      <c r="U13" s="235" t="s">
        <v>244</v>
      </c>
      <c r="V13" s="377">
        <f>T13</f>
        <v>6.5344923308610987</v>
      </c>
    </row>
    <row r="14" spans="1:22" ht="15" customHeight="1" x14ac:dyDescent="0.25">
      <c r="A14" s="1276"/>
      <c r="B14" s="1277"/>
      <c r="C14" s="1278" t="s">
        <v>352</v>
      </c>
      <c r="D14" s="1278"/>
      <c r="E14" s="1279"/>
      <c r="G14" s="1140"/>
      <c r="H14" s="1141"/>
      <c r="I14" s="1141"/>
      <c r="J14" s="1141"/>
      <c r="K14" s="1141"/>
      <c r="L14" s="1141"/>
      <c r="M14" s="1142"/>
      <c r="P14" s="238"/>
      <c r="Q14" s="236"/>
      <c r="R14" s="236"/>
      <c r="S14" s="236"/>
      <c r="T14" s="236"/>
      <c r="U14" s="236" t="s">
        <v>264</v>
      </c>
      <c r="V14" s="237"/>
    </row>
    <row r="15" spans="1:22" x14ac:dyDescent="0.25">
      <c r="A15" s="1201"/>
      <c r="B15" s="1202"/>
      <c r="C15" s="1280" t="s">
        <v>467</v>
      </c>
      <c r="D15" s="1280"/>
      <c r="E15" s="1281"/>
      <c r="G15" s="1140"/>
      <c r="H15" s="1141"/>
      <c r="I15" s="1141"/>
      <c r="J15" s="1141"/>
      <c r="K15" s="1141"/>
      <c r="L15" s="1141"/>
      <c r="M15" s="1142"/>
    </row>
    <row r="16" spans="1:22" ht="18.75" x14ac:dyDescent="0.3">
      <c r="A16" s="1284" t="s">
        <v>824</v>
      </c>
      <c r="B16" s="1285"/>
      <c r="C16" s="1285"/>
      <c r="D16" s="1285"/>
      <c r="E16" s="1286"/>
      <c r="G16" s="1140"/>
      <c r="H16" s="1141"/>
      <c r="I16" s="1141"/>
      <c r="J16" s="1141"/>
      <c r="K16" s="1141"/>
      <c r="L16" s="1141"/>
      <c r="M16" s="1142"/>
      <c r="P16" s="370" t="str">
        <f>B47</f>
        <v>A1013</v>
      </c>
      <c r="Q16" s="526" t="s">
        <v>19</v>
      </c>
      <c r="R16" s="1364" t="s">
        <v>72</v>
      </c>
      <c r="S16" s="1365"/>
      <c r="T16" s="1365"/>
      <c r="U16" s="1365"/>
      <c r="V16" s="1366"/>
    </row>
    <row r="17" spans="1:26" ht="15" customHeight="1" x14ac:dyDescent="0.25">
      <c r="A17" s="1287"/>
      <c r="B17" s="1288"/>
      <c r="C17" s="1288"/>
      <c r="D17" s="1288"/>
      <c r="E17" s="1289"/>
      <c r="G17" s="1140"/>
      <c r="H17" s="1141"/>
      <c r="I17" s="1141"/>
      <c r="J17" s="1141"/>
      <c r="K17" s="1141"/>
      <c r="L17" s="1141"/>
      <c r="M17" s="1142"/>
      <c r="P17" s="297" t="s">
        <v>61</v>
      </c>
      <c r="Q17" s="371" t="s">
        <v>58</v>
      </c>
      <c r="R17" s="371" t="s">
        <v>59</v>
      </c>
      <c r="S17" s="371" t="s">
        <v>60</v>
      </c>
      <c r="T17" s="371" t="s">
        <v>53</v>
      </c>
      <c r="U17" s="372" t="s">
        <v>61</v>
      </c>
      <c r="V17" s="373" t="s">
        <v>53</v>
      </c>
    </row>
    <row r="18" spans="1:26" ht="15" customHeight="1" x14ac:dyDescent="0.25">
      <c r="A18" s="1287"/>
      <c r="B18" s="1288"/>
      <c r="C18" s="1288"/>
      <c r="D18" s="1288"/>
      <c r="E18" s="1289"/>
      <c r="G18" s="1140"/>
      <c r="H18" s="1141"/>
      <c r="I18" s="1141"/>
      <c r="J18" s="1141"/>
      <c r="K18" s="1141"/>
      <c r="L18" s="1141"/>
      <c r="M18" s="1142"/>
      <c r="P18" s="374" t="s">
        <v>35</v>
      </c>
      <c r="Q18" s="357">
        <f>VLOOKUP(P16,Activities!$A$10:$Q$152,16,FALSE)</f>
        <v>1.4289323610931841</v>
      </c>
      <c r="R18" s="357">
        <f>VLOOKUP(Q16,Activities!$A$10:$Q$152,16,FALSE)</f>
        <v>1.1303836975020005</v>
      </c>
      <c r="S18" s="376">
        <v>1</v>
      </c>
      <c r="T18" s="375">
        <f>R18+Q18</f>
        <v>2.5593160585951846</v>
      </c>
      <c r="U18" s="235" t="s">
        <v>35</v>
      </c>
      <c r="V18" s="377">
        <f>T18</f>
        <v>2.5593160585951846</v>
      </c>
    </row>
    <row r="19" spans="1:26" ht="15" customHeight="1" x14ac:dyDescent="0.25">
      <c r="A19" s="1290"/>
      <c r="B19" s="1291"/>
      <c r="C19" s="1291"/>
      <c r="D19" s="1291"/>
      <c r="E19" s="1292"/>
      <c r="G19" s="1143"/>
      <c r="H19" s="1144"/>
      <c r="I19" s="1144"/>
      <c r="J19" s="1144"/>
      <c r="K19" s="1144"/>
      <c r="L19" s="1144"/>
      <c r="M19" s="1145"/>
      <c r="P19" s="374" t="s">
        <v>36</v>
      </c>
      <c r="Q19" s="375">
        <f>Q18</f>
        <v>1.4289323610931841</v>
      </c>
      <c r="R19" s="375">
        <f>R18*2</f>
        <v>2.260767395004001</v>
      </c>
      <c r="S19" s="376">
        <v>0.8</v>
      </c>
      <c r="T19" s="375">
        <f>Q19+(R19*S19)</f>
        <v>3.237546277096385</v>
      </c>
      <c r="U19" s="235" t="s">
        <v>36</v>
      </c>
      <c r="V19" s="377">
        <f>T19</f>
        <v>3.237546277096385</v>
      </c>
    </row>
    <row r="20" spans="1:26" ht="15" customHeight="1" x14ac:dyDescent="0.25">
      <c r="D20" s="366"/>
      <c r="J20" s="219"/>
      <c r="K20" s="367"/>
      <c r="L20" s="1291"/>
      <c r="M20" s="1292"/>
      <c r="P20" s="374" t="s">
        <v>37</v>
      </c>
      <c r="Q20" s="375">
        <f t="shared" ref="Q20:Q21" si="2">Q19</f>
        <v>1.4289323610931841</v>
      </c>
      <c r="R20" s="375">
        <f>R18*4</f>
        <v>4.5215347900080021</v>
      </c>
      <c r="S20" s="376">
        <v>0.7</v>
      </c>
      <c r="T20" s="375">
        <f>Q20+(R20*S20)</f>
        <v>4.5940067140987857</v>
      </c>
      <c r="U20" s="235" t="s">
        <v>37</v>
      </c>
      <c r="V20" s="377">
        <f>T20</f>
        <v>4.5940067140987857</v>
      </c>
    </row>
    <row r="21" spans="1:26" s="243" customFormat="1" ht="60.75" customHeight="1" thickBot="1" x14ac:dyDescent="0.3">
      <c r="A21" s="119" t="s">
        <v>39</v>
      </c>
      <c r="B21" s="120" t="s">
        <v>40</v>
      </c>
      <c r="C21" s="120" t="s">
        <v>479</v>
      </c>
      <c r="D21" s="311" t="s">
        <v>272</v>
      </c>
      <c r="E21" s="311" t="s">
        <v>43</v>
      </c>
      <c r="F21" s="120" t="s">
        <v>273</v>
      </c>
      <c r="G21" s="1212" t="s">
        <v>416</v>
      </c>
      <c r="H21" s="1212"/>
      <c r="I21" s="120" t="s">
        <v>45</v>
      </c>
      <c r="J21" s="312" t="s">
        <v>271</v>
      </c>
      <c r="K21" s="120" t="s">
        <v>47</v>
      </c>
      <c r="L21" s="120" t="s">
        <v>270</v>
      </c>
      <c r="M21" s="317" t="s">
        <v>415</v>
      </c>
      <c r="P21" s="374" t="s">
        <v>38</v>
      </c>
      <c r="Q21" s="375">
        <f t="shared" si="2"/>
        <v>1.4289323610931841</v>
      </c>
      <c r="R21" s="375">
        <f>R18*8</f>
        <v>9.0430695800160041</v>
      </c>
      <c r="S21" s="376">
        <v>0.6</v>
      </c>
      <c r="T21" s="375">
        <f>Q21+(R21*S21)</f>
        <v>6.8547741091027863</v>
      </c>
      <c r="U21" s="235" t="s">
        <v>244</v>
      </c>
      <c r="V21" s="377">
        <f>T21</f>
        <v>6.8547741091027863</v>
      </c>
    </row>
    <row r="22" spans="1:26" s="243" customFormat="1" ht="57" customHeight="1" thickBot="1" x14ac:dyDescent="0.3">
      <c r="A22" s="1293" t="s">
        <v>57</v>
      </c>
      <c r="B22" s="245" t="s">
        <v>227</v>
      </c>
      <c r="C22" s="259" t="str">
        <f>VLOOKUP($B22,Activities!$A$10:$P$152,3,FALSE)</f>
        <v>Clean Process Facility of all materials and waste and Decontaminate ready for Demolition</v>
      </c>
      <c r="D22" s="239" t="s">
        <v>49</v>
      </c>
      <c r="E22" s="240"/>
      <c r="F22" s="246" t="str">
        <f>VLOOKUP($B22,Activities!$A$10:$P$152,4,FALSE)</f>
        <v>Item</v>
      </c>
      <c r="G22" s="1269"/>
      <c r="H22" s="1270"/>
      <c r="I22" s="273">
        <f>VLOOKUP($B22,Activities!$A$10:$S$152,16,FALSE)</f>
        <v>30655.007464689566</v>
      </c>
      <c r="J22" s="269"/>
      <c r="K22" s="388">
        <f t="shared" ref="K22" si="3">IF(D22="Y",IF(J22="",I22*E22,J22*E22),0)</f>
        <v>0</v>
      </c>
      <c r="L22" s="248" t="str">
        <f>IFERROR(IF(D22="Y",K22/$K$76,0%),"0.0%")</f>
        <v>0.0%</v>
      </c>
      <c r="M22" s="290" t="str">
        <f>VLOOKUP($B22,Activities!$A$10:$S$152,19,FALSE)</f>
        <v>This activity precedes any demolition and involves the cleaning out of the processing facility of all materials, waste and rubbish prior to demolition.  It includes the removal of contaminated material and the decontamination of the plant.  It is in effect made ready for demolition.</v>
      </c>
      <c r="P22" s="378"/>
      <c r="Q22" s="379"/>
      <c r="R22" s="379"/>
      <c r="S22" s="379"/>
      <c r="T22" s="379"/>
      <c r="U22" s="236" t="s">
        <v>264</v>
      </c>
      <c r="V22" s="380"/>
      <c r="X22" s="518" t="str">
        <f>B41</f>
        <v>A1110</v>
      </c>
      <c r="Y22" s="1370" t="str">
        <f>C41</f>
        <v>Onsite remediation of hydrocarbon contaminated soils manual land farming</v>
      </c>
      <c r="Z22" s="1371"/>
    </row>
    <row r="23" spans="1:26" s="243" customFormat="1" ht="51" customHeight="1" thickBot="1" x14ac:dyDescent="0.3">
      <c r="A23" s="1336"/>
      <c r="B23" s="245" t="s">
        <v>228</v>
      </c>
      <c r="C23" s="259" t="str">
        <f>VLOOKUP($B23,Activities!$A$10:$P$152,3,FALSE)</f>
        <v>Disconnection of Services to Area</v>
      </c>
      <c r="D23" s="239" t="s">
        <v>49</v>
      </c>
      <c r="E23" s="240"/>
      <c r="F23" s="246" t="str">
        <f>VLOOKUP($B23,Activities!$A$10:$P$152,4,FALSE)</f>
        <v>Item</v>
      </c>
      <c r="G23" s="1269"/>
      <c r="H23" s="1270"/>
      <c r="I23" s="273">
        <f>VLOOKUP($B23,Activities!$A$10:$S$152,16,FALSE)</f>
        <v>3678.6008957627482</v>
      </c>
      <c r="J23" s="269"/>
      <c r="K23" s="388">
        <f t="shared" ref="K23:K24" si="4">IF(D23="Y",IF(J23="",I23*E23,J23*E23),0)</f>
        <v>0</v>
      </c>
      <c r="L23" s="248" t="str">
        <f>IFERROR(IF(D23="Y",K23/$K$76,0%),"0.0%")</f>
        <v>0.0%</v>
      </c>
      <c r="M23" s="290" t="str">
        <f>VLOOKUP($B23,Activities!$A$10:$S$152,19,FALSE)</f>
        <v>This Activity includes disconnecting and terminating all services such as power, water and sewer.  It covers the disconnection costs for an area.  Within a mine site there may be a number of areas which need to have services disconnected.</v>
      </c>
      <c r="P23" s="233"/>
      <c r="Q23" s="233"/>
      <c r="R23" s="233"/>
      <c r="S23" s="233"/>
      <c r="T23" s="233"/>
      <c r="U23" s="233"/>
      <c r="V23" s="233"/>
      <c r="X23" s="495" t="s">
        <v>649</v>
      </c>
      <c r="Y23" s="496" t="s">
        <v>648</v>
      </c>
      <c r="Z23" s="497" t="s">
        <v>850</v>
      </c>
    </row>
    <row r="24" spans="1:26" s="243" customFormat="1" ht="84.75" customHeight="1" thickBot="1" x14ac:dyDescent="0.3">
      <c r="A24" s="369"/>
      <c r="B24" s="245" t="s">
        <v>503</v>
      </c>
      <c r="C24" s="259" t="str">
        <f>VLOOKUP($B24,Activities!$A$10:$P$152,3,FALSE)</f>
        <v>Excavation of pit on site for the onsite Burial and Disposal of Equipment and Waste.  The costs include excavation, depositing of the waste, and the covering.</v>
      </c>
      <c r="D24" s="239" t="s">
        <v>49</v>
      </c>
      <c r="E24" s="240"/>
      <c r="F24" s="246" t="str">
        <f>VLOOKUP($B24,Activities!$A$10:$P$152,4,FALSE)</f>
        <v>m3</v>
      </c>
      <c r="G24" s="1269"/>
      <c r="H24" s="1270"/>
      <c r="I24" s="272">
        <f>VLOOKUP($B24,Activities!$A$10:$S$152,16,FALSE)</f>
        <v>20.022720516039303</v>
      </c>
      <c r="J24" s="269"/>
      <c r="K24" s="388">
        <f t="shared" si="4"/>
        <v>0</v>
      </c>
      <c r="L24" s="248" t="str">
        <f>IFERROR(IF(D24="Y",K24/$K$76,0%),"0.0%")</f>
        <v>0.0%</v>
      </c>
      <c r="M24" s="290" t="str">
        <f>VLOOKUP($B24,Activities!$A$10:$S$152,19,FALSE)</f>
        <v>This activity covers the situation when waste and/or equipment needs to be disposed of on site and buried (where approved).  This excavation therefore assumes a free digging site using an excavator and truck to remove sufficient material to enable the burying of any waste and disposed equipment.  The costs include the later covering and compaction of the waste  pit with the material previously dug out and it assumes any excess material can spread out over the site or used in other areas.</v>
      </c>
      <c r="P24" s="525" t="s">
        <v>242</v>
      </c>
      <c r="Q24" s="526" t="s">
        <v>19</v>
      </c>
      <c r="R24" s="1364" t="s">
        <v>861</v>
      </c>
      <c r="S24" s="1365"/>
      <c r="T24" s="1365"/>
      <c r="U24" s="1365"/>
      <c r="V24" s="1366"/>
      <c r="X24" s="498" t="s">
        <v>645</v>
      </c>
      <c r="Y24" s="392">
        <f t="shared" ref="Y24:Y25" si="5">Y$27*Z24</f>
        <v>175.30932641660021</v>
      </c>
      <c r="Z24" s="499">
        <v>1.83</v>
      </c>
    </row>
    <row r="25" spans="1:26" s="243" customFormat="1" ht="15.75" customHeight="1" thickBot="1" x14ac:dyDescent="0.3">
      <c r="A25" s="249" t="s">
        <v>53</v>
      </c>
      <c r="B25" s="345" t="str">
        <f>A22</f>
        <v xml:space="preserve">Preliminaries </v>
      </c>
      <c r="C25" s="300"/>
      <c r="D25" s="252"/>
      <c r="E25" s="253"/>
      <c r="F25" s="252"/>
      <c r="G25" s="252"/>
      <c r="H25" s="252"/>
      <c r="I25" s="254"/>
      <c r="J25" s="255"/>
      <c r="K25" s="256">
        <f>SUM(K22:K24)</f>
        <v>0</v>
      </c>
      <c r="L25" s="252"/>
      <c r="M25" s="257"/>
      <c r="P25" s="297" t="s">
        <v>61</v>
      </c>
      <c r="Q25" s="371" t="s">
        <v>58</v>
      </c>
      <c r="R25" s="371" t="s">
        <v>59</v>
      </c>
      <c r="S25" s="371" t="s">
        <v>60</v>
      </c>
      <c r="T25" s="371" t="s">
        <v>53</v>
      </c>
      <c r="U25" s="372" t="s">
        <v>61</v>
      </c>
      <c r="V25" s="373" t="s">
        <v>53</v>
      </c>
      <c r="X25" s="498" t="s">
        <v>847</v>
      </c>
      <c r="Y25" s="392">
        <f t="shared" si="5"/>
        <v>140.8222458100559</v>
      </c>
      <c r="Z25" s="500">
        <v>1.47</v>
      </c>
    </row>
    <row r="26" spans="1:26" ht="79.5" thickBot="1" x14ac:dyDescent="0.3">
      <c r="A26" s="1367" t="s">
        <v>237</v>
      </c>
      <c r="B26" s="245" t="s">
        <v>229</v>
      </c>
      <c r="C26" s="259" t="str">
        <f>VLOOKUP($B26,Activities!$A$10:$P$152,3,FALSE)</f>
        <v>Demolition of process plant including superstructure and removal to designated onsite dump sitesite (Add all levels of structure in total area).</v>
      </c>
      <c r="D26" s="239" t="s">
        <v>49</v>
      </c>
      <c r="E26" s="240"/>
      <c r="F26" s="246" t="str">
        <f>VLOOKUP($B26,Activities!$A$10:$P$152,4,FALSE)</f>
        <v>m2</v>
      </c>
      <c r="G26" s="1269"/>
      <c r="H26" s="1270"/>
      <c r="I26" s="272">
        <f>VLOOKUP($B26,Activities!$A$10:$S$152,16,FALSE)</f>
        <v>381.88561021959441</v>
      </c>
      <c r="J26" s="269"/>
      <c r="K26" s="388">
        <f t="shared" ref="K26:K35" si="6">IF(D26="Y",IF(J26="",I26*E26,J26*E26),0)</f>
        <v>0</v>
      </c>
      <c r="L26" s="248" t="str">
        <f t="shared" ref="L26:L35" si="7">IFERROR(IF(D26="Y",K26/$K$76,0%),"0.0%")</f>
        <v>0.0%</v>
      </c>
      <c r="M26" s="290" t="str">
        <f>VLOOKUP($B26,Activities!$A$10:$S$152,19,FALSE)</f>
        <v>The activity include the demolition and removal of the plant superstructure, including piping, steel structures up to 5 levels and the removal to an approved on-site dump.  It does not include tanks or the foundations and footings supporting the super structure.</v>
      </c>
      <c r="P26" s="374" t="s">
        <v>35</v>
      </c>
      <c r="Q26" s="375">
        <f>VLOOKUP(P24,Activities!A10:S152,16,FALSE)</f>
        <v>3.7375919690128194</v>
      </c>
      <c r="R26" s="357">
        <f>VLOOKUP(Q24,Activities!$A$10:$Q$152,16,FALSE)</f>
        <v>1.1303836975020005</v>
      </c>
      <c r="S26" s="376">
        <v>1</v>
      </c>
      <c r="T26" s="375">
        <f>R26+Q26</f>
        <v>4.8679756665148197</v>
      </c>
      <c r="U26" s="235" t="s">
        <v>35</v>
      </c>
      <c r="V26" s="377">
        <f>T26</f>
        <v>4.8679756665148197</v>
      </c>
      <c r="X26" s="498" t="s">
        <v>653</v>
      </c>
      <c r="Y26" s="392">
        <f>Y$27*Z26</f>
        <v>105.3771907422187</v>
      </c>
      <c r="Z26" s="501">
        <v>1.1000000000000001</v>
      </c>
    </row>
    <row r="27" spans="1:26" ht="72.75" customHeight="1" thickBot="1" x14ac:dyDescent="0.3">
      <c r="A27" s="1368"/>
      <c r="B27" s="245" t="s">
        <v>230</v>
      </c>
      <c r="C27" s="259" t="str">
        <f>VLOOKUP($B27,Activities!$A$10:$P$152,3,FALSE)</f>
        <v xml:space="preserve">Demolition of tanks (leach, flotation, thickners, etc) associated with the Production Process </v>
      </c>
      <c r="D27" s="239" t="s">
        <v>49</v>
      </c>
      <c r="E27" s="240"/>
      <c r="F27" s="246" t="str">
        <f>VLOOKUP($B27,Activities!$A$10:$P$152,4,FALSE)</f>
        <v>m2</v>
      </c>
      <c r="G27" s="1269"/>
      <c r="H27" s="1270"/>
      <c r="I27" s="272">
        <f>VLOOKUP($B27,Activities!$A$10:$S$152,16,FALSE)</f>
        <v>539.07257987028072</v>
      </c>
      <c r="J27" s="269"/>
      <c r="K27" s="388">
        <f t="shared" si="6"/>
        <v>0</v>
      </c>
      <c r="L27" s="248" t="str">
        <f t="shared" si="7"/>
        <v>0.0%</v>
      </c>
      <c r="M27" s="290" t="str">
        <f>VLOOKUP($B27,Activities!$A$10:$S$152,19,FALSE)</f>
        <v>This activity covers the demolition of tanks associated with the production production process.  The costs are based on the tank area and all tanks are included.  (The assumed costs are therefore an average of inground, on ground, elevated, steel and concrete construction)</v>
      </c>
      <c r="P27" s="374" t="s">
        <v>36</v>
      </c>
      <c r="Q27" s="375">
        <f>Q26</f>
        <v>3.7375919690128194</v>
      </c>
      <c r="R27" s="375">
        <f>R26*2</f>
        <v>2.260767395004001</v>
      </c>
      <c r="S27" s="376">
        <v>0.8</v>
      </c>
      <c r="T27" s="375">
        <f>Q27+(R27*S27)</f>
        <v>5.5462058850160201</v>
      </c>
      <c r="U27" s="235" t="s">
        <v>36</v>
      </c>
      <c r="V27" s="377">
        <f>T27</f>
        <v>5.5462058850160201</v>
      </c>
      <c r="X27" s="498" t="s">
        <v>647</v>
      </c>
      <c r="Y27" s="392">
        <f>VLOOKUP(B41,Activities!A10:Q129,16,FALSE)</f>
        <v>95.797446129289725</v>
      </c>
      <c r="Z27" s="501">
        <v>1</v>
      </c>
    </row>
    <row r="28" spans="1:26" ht="72.75" customHeight="1" thickBot="1" x14ac:dyDescent="0.3">
      <c r="A28" s="1368"/>
      <c r="B28" s="102" t="s">
        <v>283</v>
      </c>
      <c r="C28" s="259" t="str">
        <f>VLOOKUP($B28,Activities!$A$10:$P$152,3,FALSE)</f>
        <v>Demolition and Removal of Water Tanks (Metal or Concrete)</v>
      </c>
      <c r="D28" s="239" t="s">
        <v>49</v>
      </c>
      <c r="E28" s="240"/>
      <c r="F28" s="246" t="str">
        <f>VLOOKUP($B28,Activities!$A$10:$P$152,4,FALSE)</f>
        <v>m2</v>
      </c>
      <c r="G28" s="1269"/>
      <c r="H28" s="1270"/>
      <c r="I28" s="272">
        <f>VLOOKUP($B28,Activities!$A$10:$S$152,16,FALSE)</f>
        <v>298.27766728339105</v>
      </c>
      <c r="J28" s="269"/>
      <c r="K28" s="388">
        <f t="shared" si="6"/>
        <v>0</v>
      </c>
      <c r="L28" s="248" t="str">
        <f t="shared" si="7"/>
        <v>0.0%</v>
      </c>
      <c r="M28" s="290" t="str">
        <f>VLOOKUP($B28,Activities!$A$10:$S$152,19,FALSE)</f>
        <v xml:space="preserve">This activity covers the demolition and removal of tanks used in either the fresh or waste water treatment plants.  Rate assumes already decommissioned (drained and cleaned ready for demolition). </v>
      </c>
      <c r="P28" s="374" t="s">
        <v>37</v>
      </c>
      <c r="Q28" s="375">
        <f t="shared" ref="Q28:Q29" si="8">Q27</f>
        <v>3.7375919690128194</v>
      </c>
      <c r="R28" s="375">
        <f>R26*4</f>
        <v>4.5215347900080021</v>
      </c>
      <c r="S28" s="376">
        <v>0.7</v>
      </c>
      <c r="T28" s="375">
        <f>Q28+(R28*S28)</f>
        <v>6.9026663220184208</v>
      </c>
      <c r="U28" s="235" t="s">
        <v>37</v>
      </c>
      <c r="V28" s="377">
        <f>T28</f>
        <v>6.9026663220184208</v>
      </c>
      <c r="X28" s="238" t="s">
        <v>848</v>
      </c>
      <c r="Y28" s="236"/>
      <c r="Z28" s="502"/>
    </row>
    <row r="29" spans="1:26" ht="60.75" customHeight="1" thickBot="1" x14ac:dyDescent="0.3">
      <c r="A29" s="1368"/>
      <c r="B29" s="245" t="s">
        <v>231</v>
      </c>
      <c r="C29" s="259" t="str">
        <f>VLOOKUP($B29,Activities!$A$10:$P$152,3,FALSE)</f>
        <v xml:space="preserve">Demolition of Conveyors and Gantries - Demolish and remove to site dump </v>
      </c>
      <c r="D29" s="239" t="s">
        <v>49</v>
      </c>
      <c r="E29" s="240"/>
      <c r="F29" s="246" t="str">
        <f>VLOOKUP($B29,Activities!$A$10:$P$152,4,FALSE)</f>
        <v>Lin m</v>
      </c>
      <c r="G29" s="1269"/>
      <c r="H29" s="1270"/>
      <c r="I29" s="272">
        <f>VLOOKUP($B29,Activities!$A$10:$S$152,16,FALSE)</f>
        <v>434.35350508881208</v>
      </c>
      <c r="J29" s="269"/>
      <c r="K29" s="388">
        <f t="shared" si="6"/>
        <v>0</v>
      </c>
      <c r="L29" s="248" t="str">
        <f t="shared" si="7"/>
        <v>0.0%</v>
      </c>
      <c r="M29" s="290" t="str">
        <f>VLOOKUP($B29,Activities!$A$10:$S$152,19,FALSE)</f>
        <v>The activity include the demolition and removal of the conveyors and gantries to  site dump.  This does not inlcude the salvaging of the conveyors.  This activity assumes a mixture of ground and overhead conveyors.</v>
      </c>
      <c r="P29" s="374" t="s">
        <v>38</v>
      </c>
      <c r="Q29" s="375">
        <f t="shared" si="8"/>
        <v>3.7375919690128194</v>
      </c>
      <c r="R29" s="375">
        <f>R26*8</f>
        <v>9.0430695800160041</v>
      </c>
      <c r="S29" s="376">
        <v>0.6</v>
      </c>
      <c r="T29" s="375">
        <f>Q29+(R29*S29)</f>
        <v>9.1634337170224214</v>
      </c>
      <c r="U29" s="235" t="s">
        <v>244</v>
      </c>
      <c r="V29" s="377">
        <f>T29</f>
        <v>9.1634337170224214</v>
      </c>
    </row>
    <row r="30" spans="1:26" ht="48.75" thickBot="1" x14ac:dyDescent="0.3">
      <c r="A30" s="1368"/>
      <c r="B30" s="245" t="s">
        <v>252</v>
      </c>
      <c r="C30" s="259" t="str">
        <f>VLOOKUP($B30,Activities!$A$10:$P$152,3,FALSE)</f>
        <v>Demolition of Industrial and Other buildings and remove waste to designated dump on site.</v>
      </c>
      <c r="D30" s="239" t="s">
        <v>49</v>
      </c>
      <c r="E30" s="240"/>
      <c r="F30" s="246" t="str">
        <f>VLOOKUP($B30,Activities!$A$10:$P$152,4,FALSE)</f>
        <v>m2</v>
      </c>
      <c r="G30" s="1269"/>
      <c r="H30" s="1270"/>
      <c r="I30" s="272">
        <f>VLOOKUP($B30,Activities!$A$10:$S$152,16,FALSE)</f>
        <v>62.958526402902507</v>
      </c>
      <c r="J30" s="269"/>
      <c r="K30" s="388">
        <f t="shared" si="6"/>
        <v>0</v>
      </c>
      <c r="L30" s="248" t="str">
        <f t="shared" si="7"/>
        <v>0.0%</v>
      </c>
      <c r="M30" s="290" t="str">
        <f>VLOOKUP($B30,Activities!$A$10:$S$152,19,FALSE)</f>
        <v xml:space="preserve">This activity covers the demolition of industrial and other buildings (up to 5 levels) on the site that are not salvageable or removed from the site.  The buildings are demolished and transported to a designated dump on the mine site. </v>
      </c>
      <c r="P30" s="238"/>
      <c r="Q30" s="236"/>
      <c r="R30" s="236"/>
      <c r="S30" s="236"/>
      <c r="T30" s="236"/>
      <c r="U30" s="236" t="s">
        <v>264</v>
      </c>
      <c r="V30" s="237"/>
    </row>
    <row r="31" spans="1:26" ht="53.25" customHeight="1" thickBot="1" x14ac:dyDescent="0.3">
      <c r="A31" s="1368"/>
      <c r="B31" s="245" t="s">
        <v>232</v>
      </c>
      <c r="C31" s="259" t="str">
        <f>VLOOKUP($B31,Activities!$A$10:$P$152,3,FALSE)</f>
        <v>Demolish heavy duty concrete structures, crusher and other equipment footings</v>
      </c>
      <c r="D31" s="239" t="s">
        <v>49</v>
      </c>
      <c r="E31" s="240"/>
      <c r="F31" s="246" t="str">
        <f>VLOOKUP($B31,Activities!$A$10:$P$152,4,FALSE)</f>
        <v>m2</v>
      </c>
      <c r="G31" s="1269"/>
      <c r="H31" s="1270"/>
      <c r="I31" s="272">
        <f>VLOOKUP($B31,Activities!$A$10:$S$152,16,FALSE)</f>
        <v>325.92646713928127</v>
      </c>
      <c r="J31" s="269"/>
      <c r="K31" s="388">
        <f t="shared" si="6"/>
        <v>0</v>
      </c>
      <c r="L31" s="248" t="str">
        <f t="shared" si="7"/>
        <v>0.0%</v>
      </c>
      <c r="M31" s="290" t="str">
        <f>VLOOKUP($B31,Activities!$A$10:$S$152,19,FALSE)</f>
        <v xml:space="preserve">The activity include the demolition and removal of the the heavy duty concrete footings and bases used for the support of major items of plant and equipment primarily around the processing plant.  </v>
      </c>
    </row>
    <row r="32" spans="1:26" ht="53.25" customHeight="1" thickBot="1" x14ac:dyDescent="0.3">
      <c r="A32" s="1368"/>
      <c r="B32" s="302" t="s">
        <v>505</v>
      </c>
      <c r="C32" s="259" t="str">
        <f>VLOOKUP($B32,Activities!$A$10:$P$152,3,FALSE)</f>
        <v xml:space="preserve">Demolish concrete pads, normal shed floors, pathways and minor footings  </v>
      </c>
      <c r="D32" s="239" t="s">
        <v>49</v>
      </c>
      <c r="E32" s="240"/>
      <c r="F32" s="246" t="str">
        <f>VLOOKUP($B32,Activities!$A$10:$P$152,4,FALSE)</f>
        <v>m2</v>
      </c>
      <c r="G32" s="1269"/>
      <c r="H32" s="1270"/>
      <c r="I32" s="272">
        <f>VLOOKUP($B32,Activities!$A$10:$S$152,16,FALSE)</f>
        <v>51.851141199048399</v>
      </c>
      <c r="J32" s="269"/>
      <c r="K32" s="388">
        <f t="shared" si="6"/>
        <v>0</v>
      </c>
      <c r="L32" s="248" t="str">
        <f t="shared" si="7"/>
        <v>0.0%</v>
      </c>
      <c r="M32" s="290" t="str">
        <f>VLOOKUP($B32,Activities!$A$10:$S$152,19,FALSE)</f>
        <v>The activity include the demolition and removal of concrete floors in sheds, pathways, and minor footings.  (It does not cover major concrete equipment support bases)</v>
      </c>
    </row>
    <row r="33" spans="1:13" ht="53.25" customHeight="1" thickBot="1" x14ac:dyDescent="0.3">
      <c r="A33" s="1368"/>
      <c r="B33" s="245" t="s">
        <v>23</v>
      </c>
      <c r="C33" s="259" t="str">
        <f>VLOOKUP($B33,Activities!$A$10:$P$152,3,FALSE)</f>
        <v>Demolish and remove concrete pads and footings - assumes reinforced concrete slab max 300 mm thick</v>
      </c>
      <c r="D33" s="239" t="s">
        <v>49</v>
      </c>
      <c r="E33" s="240"/>
      <c r="F33" s="246" t="str">
        <f>VLOOKUP($B33,Activities!$A$10:$P$152,4,FALSE)</f>
        <v>m2</v>
      </c>
      <c r="G33" s="1269"/>
      <c r="H33" s="1270"/>
      <c r="I33" s="272">
        <f>VLOOKUP($B33,Activities!$A$10:$S$152,16,FALSE)</f>
        <v>172.0411467499186</v>
      </c>
      <c r="J33" s="269"/>
      <c r="K33" s="388">
        <f t="shared" si="6"/>
        <v>0</v>
      </c>
      <c r="L33" s="248" t="str">
        <f t="shared" si="7"/>
        <v>0.0%</v>
      </c>
      <c r="M33" s="290" t="str">
        <f>VLOOKUP($B33,Activities!$A$10:$S$152,19,FALSE)</f>
        <v xml:space="preserve">The activity includes the demolition and removal of reinforced concrete slabs max 300 mm thick. Assumes cutting off piles at 1 m below surface. </v>
      </c>
    </row>
    <row r="34" spans="1:13" ht="60.75" thickBot="1" x14ac:dyDescent="0.3">
      <c r="A34" s="1368"/>
      <c r="B34" s="302" t="s">
        <v>233</v>
      </c>
      <c r="C34" s="259" t="str">
        <f>VLOOKUP($B34,Activities!$A$10:$P$152,3,FALSE)</f>
        <v>Demolish and Removal of Pipework - Plastic (Borefields, tailing facilities, etc)</v>
      </c>
      <c r="D34" s="239" t="s">
        <v>49</v>
      </c>
      <c r="E34" s="240"/>
      <c r="F34" s="246" t="str">
        <f>VLOOKUP($B34,Activities!$A$10:$P$152,4,FALSE)</f>
        <v>m</v>
      </c>
      <c r="G34" s="1269"/>
      <c r="H34" s="1270"/>
      <c r="I34" s="272">
        <f>VLOOKUP($B34,Activities!$A$10:$S$152,16,FALSE)</f>
        <v>13.119651535666517</v>
      </c>
      <c r="J34" s="269"/>
      <c r="K34" s="388">
        <f t="shared" si="6"/>
        <v>0</v>
      </c>
      <c r="L34" s="248" t="str">
        <f t="shared" si="7"/>
        <v>0.0%</v>
      </c>
      <c r="M34" s="290" t="str">
        <f>VLOOKUP($B34,Activities!$A$10:$S$152,19,FALSE)</f>
        <v>The activity consists of removing all pipework within the area and disposing of this pipework in an approved dump on the site.  The pipework should be cut up or shredded.  The activity assumes that the pipe is &lt;200mm and is plastic in nature.  If the pipe is very large or steel a separate demolition price should be prepared.  It does not inlcude pipework within a process plant.</v>
      </c>
    </row>
    <row r="35" spans="1:13" ht="48" thickBot="1" x14ac:dyDescent="0.3">
      <c r="A35" s="1368"/>
      <c r="B35" s="302" t="s">
        <v>234</v>
      </c>
      <c r="C35" s="259" t="str">
        <f>VLOOKUP($B35,Activities!$A$10:$P$152,3,FALSE)</f>
        <v>Demolition and removal of Bitumen, spray seal and crushed rock roadbase</v>
      </c>
      <c r="D35" s="239" t="s">
        <v>49</v>
      </c>
      <c r="E35" s="240"/>
      <c r="F35" s="246" t="str">
        <f>VLOOKUP($B35,Activities!$A$10:$P$152,4,FALSE)</f>
        <v>m2</v>
      </c>
      <c r="G35" s="1269"/>
      <c r="H35" s="1270"/>
      <c r="I35" s="272">
        <f>VLOOKUP($B35,Activities!$A$10:$S$152,16,FALSE)</f>
        <v>0.45606878582196886</v>
      </c>
      <c r="J35" s="269"/>
      <c r="K35" s="388">
        <f t="shared" si="6"/>
        <v>0</v>
      </c>
      <c r="L35" s="248" t="str">
        <f t="shared" si="7"/>
        <v>0.0%</v>
      </c>
      <c r="M35" s="290" t="str">
        <f>VLOOKUP($B35,Activities!$A$10:$S$152,19,FALSE)</f>
        <v>The activity involves the digging up and removal of bitumen, sprayseal and crushed roadbase to a designated dump on the mine site.</v>
      </c>
    </row>
    <row r="36" spans="1:13" ht="42.75" thickBot="1" x14ac:dyDescent="0.3">
      <c r="A36" s="1368"/>
      <c r="B36" s="302" t="s">
        <v>16</v>
      </c>
      <c r="C36" s="259" t="str">
        <f>VLOOKUP($B36,Activities!$A$10:$P$152,3,FALSE)</f>
        <v>Load and haul of mined, processed, stockpiled materials or topsoil</v>
      </c>
      <c r="D36" s="239" t="s">
        <v>49</v>
      </c>
      <c r="E36" s="240"/>
      <c r="F36" s="246" t="str">
        <f>VLOOKUP($B36,Activities!$A$10:$P$152,4,FALSE)</f>
        <v>m3</v>
      </c>
      <c r="G36" s="313" t="s">
        <v>51</v>
      </c>
      <c r="H36" s="167" t="s">
        <v>264</v>
      </c>
      <c r="I36" s="272">
        <f>VLOOKUP(H36,U3:V7,2)</f>
        <v>0</v>
      </c>
      <c r="J36" s="397"/>
      <c r="K36" s="403">
        <f>IF(D36="Y",IF(J36="",I36*E36,J36*E36),"")</f>
        <v>0</v>
      </c>
      <c r="L36" s="248" t="str">
        <f>IFERROR(IF(D36="Y",K36/$K$66,0%),"0.0%")</f>
        <v>0.0%</v>
      </c>
      <c r="M36" s="290" t="str">
        <f>VLOOKUP($B36,Activities!$A$10:$S$152,19,FALSE)</f>
        <v>This activity involves loading into a truck of material previously mined, processed material or topsoil, and hauling a selected distance.</v>
      </c>
    </row>
    <row r="37" spans="1:13" ht="48" thickBot="1" x14ac:dyDescent="0.3">
      <c r="A37" s="1369"/>
      <c r="B37" s="19"/>
      <c r="C37" s="271" t="s">
        <v>353</v>
      </c>
      <c r="D37" s="239" t="s">
        <v>49</v>
      </c>
      <c r="E37" s="242"/>
      <c r="F37" s="246"/>
      <c r="G37" s="1269"/>
      <c r="H37" s="1270"/>
      <c r="I37" s="355" t="s">
        <v>475</v>
      </c>
      <c r="J37" s="269"/>
      <c r="K37" s="388">
        <f>IF(D37="Y",J37*E37,"")</f>
        <v>0</v>
      </c>
      <c r="L37" s="248" t="str">
        <f>IFERROR(IF(D37="Y",K37/$K$66,0%),"0.0%")</f>
        <v>0.0%</v>
      </c>
      <c r="M37" s="139" t="s">
        <v>56</v>
      </c>
    </row>
    <row r="38" spans="1:13" ht="15.75" thickBot="1" x14ac:dyDescent="0.3">
      <c r="A38" s="249" t="s">
        <v>53</v>
      </c>
      <c r="B38" s="345" t="str">
        <f>A26</f>
        <v>Demolition of Plant and Process Facilities to Dump</v>
      </c>
      <c r="C38" s="300"/>
      <c r="D38" s="252"/>
      <c r="E38" s="253"/>
      <c r="F38" s="252"/>
      <c r="G38" s="252"/>
      <c r="H38" s="252"/>
      <c r="I38" s="254"/>
      <c r="J38" s="255"/>
      <c r="K38" s="256">
        <f>SUM(K26:K37)</f>
        <v>0</v>
      </c>
      <c r="L38" s="252"/>
      <c r="M38" s="257"/>
    </row>
    <row r="39" spans="1:13" ht="92.25" customHeight="1" thickBot="1" x14ac:dyDescent="0.3">
      <c r="A39" s="1333" t="s">
        <v>240</v>
      </c>
      <c r="B39" s="258" t="s">
        <v>241</v>
      </c>
      <c r="C39" s="259" t="str">
        <f>VLOOKUP($B39,Activities!$A$10:$P$152,3,FALSE)</f>
        <v>Characteristics of soil and groundwater contamination (Environmental site assessment)</v>
      </c>
      <c r="D39" s="239" t="s">
        <v>49</v>
      </c>
      <c r="E39" s="240"/>
      <c r="F39" s="246" t="str">
        <f>VLOOKUP($B39,Activities!$A$10:$P$152,4,FALSE)</f>
        <v>Ha</v>
      </c>
      <c r="G39" s="1269"/>
      <c r="H39" s="1270"/>
      <c r="I39" s="273">
        <f>VLOOKUP($B39,Activities!$A$10:$S$152,16,FALSE)</f>
        <v>32524.962920035628</v>
      </c>
      <c r="J39" s="269"/>
      <c r="K39" s="388">
        <f t="shared" ref="K39" si="9">IF(D39="Y",IF(J39="",I39*E39,J39*E39),0)</f>
        <v>0</v>
      </c>
      <c r="L39" s="248" t="str">
        <f>IFERROR(IF(D39="Y",K39/$K$76,0%),"0.0%")</f>
        <v>0.0%</v>
      </c>
      <c r="M39" s="290" t="str">
        <f>VLOOKUP($B39,Activities!$A$10:$S$152,19,FALSE)</f>
        <v>Assumes soil sampling at 10 locations and development of up to four groundwater wells and one groundwater monitoring event (GME) per hectare.  Chemical analysis of one soild sample per location and one groundwater sample per well for a standard suite of chemicals (eg heavy metals, selected organics) of potential interest.  Soil sites advance to a maximum of 1 metre below ground level and wells to a maximum depth of 12 metres below ground level.</v>
      </c>
    </row>
    <row r="40" spans="1:13" ht="79.5" thickBot="1" x14ac:dyDescent="0.3">
      <c r="A40" s="1334"/>
      <c r="B40" s="245" t="s">
        <v>242</v>
      </c>
      <c r="C40" s="259" t="str">
        <f>VLOOKUP($B40,Activities!$A$10:$P$152,3,FALSE)</f>
        <v xml:space="preserve">Excavation of contaminated materials (earthen materials contaminated by metals, hydrocarbons, putrescible waste management etc) </v>
      </c>
      <c r="D40" s="239" t="s">
        <v>49</v>
      </c>
      <c r="E40" s="240"/>
      <c r="F40" s="246" t="str">
        <f>VLOOKUP($B40,Activities!$A$10:$P$152,4,FALSE)</f>
        <v>m3</v>
      </c>
      <c r="G40" s="313" t="s">
        <v>51</v>
      </c>
      <c r="H40" s="167" t="s">
        <v>264</v>
      </c>
      <c r="I40" s="272">
        <f>VLOOKUP(H40,U26:V30,2)</f>
        <v>0</v>
      </c>
      <c r="J40" s="269"/>
      <c r="K40" s="388">
        <f t="shared" ref="K40:K43" si="10">IF(D40="Y",IF(J40="",I40*E40,J40*E40),"")</f>
        <v>0</v>
      </c>
      <c r="L40" s="248" t="str">
        <f>IFERROR(IF(D40="Y",K40/$K$66,0%),"0.0%")</f>
        <v>0.0%</v>
      </c>
      <c r="M40" s="290" t="str">
        <f>VLOOKUP($B40,Activities!$A$10:$S$152,19,FALSE)</f>
        <v>This assumes material can be removed to an approved dump on the mine site.  If such material needs to be transported off site, a separate quotation should be obtained for this activity.</v>
      </c>
    </row>
    <row r="41" spans="1:13" ht="48.75" thickBot="1" x14ac:dyDescent="0.3">
      <c r="A41" s="1334"/>
      <c r="B41" s="245" t="s">
        <v>720</v>
      </c>
      <c r="C41" s="259" t="str">
        <f>VLOOKUP($B41,Activities!$A$10:$P$152,3,FALSE)</f>
        <v>Onsite remediation of hydrocarbon contaminated soils manual land farming</v>
      </c>
      <c r="D41" s="239" t="s">
        <v>49</v>
      </c>
      <c r="E41" s="240"/>
      <c r="F41" s="246" t="str">
        <f>VLOOKUP($B41,Activities!$A$10:$P$152,4,FALSE)</f>
        <v>m3</v>
      </c>
      <c r="G41" s="313" t="s">
        <v>849</v>
      </c>
      <c r="H41" s="167" t="s">
        <v>848</v>
      </c>
      <c r="I41" s="272">
        <f>VLOOKUP(H41,X24:Y28,2)</f>
        <v>0</v>
      </c>
      <c r="J41" s="269"/>
      <c r="K41" s="388">
        <f t="shared" ref="K41" si="11">IF(D41="Y",IF(J41="",I41*E41,J41*E41),"")</f>
        <v>0</v>
      </c>
      <c r="L41" s="248" t="str">
        <f>IFERROR(IF(D41="Y",K41/$K$66,0%),"0.0%")</f>
        <v>0.0%</v>
      </c>
      <c r="M41" s="290" t="str">
        <f>VLOOKUP($B41,Activities!$A$10:$S$152,19,FALSE)</f>
        <v>Spreading of contaminated soils on a prepared surface and stimulation of aerobic microbial activity within the soils through aeration and/or the addition of minerals, nutrients and moisture to promote the aerobic degradation of organic chemicals - time frame of up to 24 months.</v>
      </c>
    </row>
    <row r="42" spans="1:13" ht="46.5" customHeight="1" thickBot="1" x14ac:dyDescent="0.3">
      <c r="A42" s="1334"/>
      <c r="B42" s="245" t="s">
        <v>398</v>
      </c>
      <c r="C42" s="259" t="str">
        <f>VLOOKUP($B42,Activities!$A$10:$P$152,3,FALSE)</f>
        <v>Deep Ripping of Hardstand area for Rehabilitation</v>
      </c>
      <c r="D42" s="239" t="s">
        <v>49</v>
      </c>
      <c r="E42" s="240"/>
      <c r="F42" s="246" t="str">
        <f>VLOOKUP($B42,Activities!$A$10:$P$152,4,FALSE)</f>
        <v>Ha</v>
      </c>
      <c r="G42" s="1269"/>
      <c r="H42" s="1270"/>
      <c r="I42" s="272">
        <f>VLOOKUP($B42,Activities!$A$10:$S$152,16,FALSE)</f>
        <v>829.40192654187592</v>
      </c>
      <c r="J42" s="269"/>
      <c r="K42" s="388">
        <f t="shared" ref="K42" si="12">IF(D42="Y",IF(J42="",I42*E42,J42*E42),0)</f>
        <v>0</v>
      </c>
      <c r="L42" s="248" t="str">
        <f>IFERROR(IF(D42="Y",K42/$K$76,0%),"0.0%")</f>
        <v>0.0%</v>
      </c>
      <c r="M42" s="290" t="str">
        <f>VLOOKUP($B42,Activities!$A$10:$S$152,19,FALSE)</f>
        <v>This activity covers the situation where a hard stand area needs to be deep ripped by a dozer or appropriate machine.  It may be required to key in materials or situations where the ground is heavily compacted.</v>
      </c>
    </row>
    <row r="43" spans="1:13" ht="60.75" customHeight="1" thickBot="1" x14ac:dyDescent="0.3">
      <c r="A43" s="1334"/>
      <c r="B43" s="245" t="s">
        <v>17</v>
      </c>
      <c r="C43" s="259" t="str">
        <f>VLOOKUP($B43,Activities!$A$10:$P$152,3,FALSE)</f>
        <v xml:space="preserve">Excavation of earthen materials from local borrow pits, plus haulage </v>
      </c>
      <c r="D43" s="239" t="s">
        <v>49</v>
      </c>
      <c r="E43" s="240"/>
      <c r="F43" s="246" t="str">
        <f>VLOOKUP($B43,Activities!$A$10:$P$152,4,FALSE)</f>
        <v>m3</v>
      </c>
      <c r="G43" s="313" t="s">
        <v>51</v>
      </c>
      <c r="H43" s="167" t="s">
        <v>264</v>
      </c>
      <c r="I43" s="272">
        <f>VLOOKUP(H43,U10:V14,2)</f>
        <v>0</v>
      </c>
      <c r="J43" s="269"/>
      <c r="K43" s="388">
        <f t="shared" si="10"/>
        <v>0</v>
      </c>
      <c r="L43" s="248" t="str">
        <f>IFERROR(IF(D43="Y",K43/$K$66,0%),"0.0%")</f>
        <v>0.0%</v>
      </c>
      <c r="M43" s="290" t="str">
        <f>VLOOKUP($B43,Activities!$A$10:$S$152,19,FALSE)</f>
        <v>This activity involves the excavation of earthern material from a local borrow pit and the loading of that material into a truck.  Haulage cost based on distance hauled.</v>
      </c>
    </row>
    <row r="44" spans="1:13" ht="48" thickBot="1" x14ac:dyDescent="0.3">
      <c r="A44" s="1334"/>
      <c r="B44" s="245" t="s">
        <v>18</v>
      </c>
      <c r="C44" s="259" t="str">
        <f>VLOOKUP($B44,Activities!$A$10:$P$152,3,FALSE)</f>
        <v>Spreading Materials on ground or an open area excluding compaction (&gt;1,000m3)</v>
      </c>
      <c r="D44" s="239" t="s">
        <v>49</v>
      </c>
      <c r="E44" s="240"/>
      <c r="F44" s="246" t="str">
        <f>VLOOKUP($B44,Activities!$A$10:$P$152,4,FALSE)</f>
        <v>m3</v>
      </c>
      <c r="G44" s="1269"/>
      <c r="H44" s="1270"/>
      <c r="I44" s="272">
        <f>VLOOKUP($B44,Activities!$A$10:$S$152,16,FALSE)</f>
        <v>1.0890037105820705</v>
      </c>
      <c r="J44" s="269"/>
      <c r="K44" s="388">
        <f t="shared" ref="K44:K58" si="13">IF(D44="Y",IF(J44="",I44*E44,J44*E44),0)</f>
        <v>0</v>
      </c>
      <c r="L44" s="248" t="str">
        <f>IFERROR(IF(D44="Y",K44/$K$76,0%),"0.0%")</f>
        <v>0.0%</v>
      </c>
      <c r="M44" s="290" t="str">
        <f>VLOOKUP($B44,Activities!$A$10:$S$152,19,FALSE)</f>
        <v xml:space="preserve">This activity involves the spreading of material that has been transported and dumped at the work area. </v>
      </c>
    </row>
    <row r="45" spans="1:13" ht="48.75" thickBot="1" x14ac:dyDescent="0.3">
      <c r="A45" s="1335"/>
      <c r="B45" s="258" t="s">
        <v>79</v>
      </c>
      <c r="C45" s="259" t="str">
        <f>VLOOKUP($B45,Activities!$A$10:$P$152,3,FALSE)</f>
        <v>Minor Shaping across a Dump or Disturbed Area</v>
      </c>
      <c r="D45" s="239" t="s">
        <v>49</v>
      </c>
      <c r="E45" s="240"/>
      <c r="F45" s="246" t="str">
        <f>VLOOKUP($B45,Activities!$A$10:$P$152,4,FALSE)</f>
        <v>Ha</v>
      </c>
      <c r="G45" s="1269"/>
      <c r="H45" s="1270"/>
      <c r="I45" s="272">
        <f>VLOOKUP($B45,Activities!$A$10:$S$152,16,FALSE)</f>
        <v>2987.2221197728068</v>
      </c>
      <c r="J45" s="269"/>
      <c r="K45" s="388">
        <f t="shared" si="13"/>
        <v>0</v>
      </c>
      <c r="L45" s="248" t="str">
        <f>IFERROR(IF(D45="Y",K45/$K$76,0%),"0.0%")</f>
        <v>0.0%</v>
      </c>
      <c r="M45" s="290" t="str">
        <f>VLOOKUP($B45,Activities!$A$10:$S$152,19,FALSE)</f>
        <v xml:space="preserve">This activity covers minor shaping shifting pushing across a dump or disturbed area.  It is based on a rate per hectare.  It covers area where there needs to be some clearing work, tidying up of disturbed ground,  but not just bulk pushing </v>
      </c>
    </row>
    <row r="46" spans="1:13" ht="15.75" thickBot="1" x14ac:dyDescent="0.3">
      <c r="A46" s="293" t="s">
        <v>53</v>
      </c>
      <c r="B46" s="345" t="str">
        <f>A39</f>
        <v>Remediation of the Processing Plant area</v>
      </c>
      <c r="C46" s="300"/>
      <c r="D46" s="252"/>
      <c r="E46" s="253"/>
      <c r="F46" s="252"/>
      <c r="G46" s="252"/>
      <c r="H46" s="252"/>
      <c r="I46" s="254"/>
      <c r="J46" s="255"/>
      <c r="K46" s="256">
        <f>SUM(K39:K45)</f>
        <v>0</v>
      </c>
      <c r="L46" s="252"/>
      <c r="M46" s="257"/>
    </row>
    <row r="47" spans="1:13" ht="75.75" customHeight="1" thickBot="1" x14ac:dyDescent="0.3">
      <c r="A47" s="1132" t="s">
        <v>928</v>
      </c>
      <c r="B47" s="245" t="s">
        <v>70</v>
      </c>
      <c r="C47" s="259" t="str">
        <f>VLOOKUP($B47,Activities!$A$10:$P$152,3,FALSE)</f>
        <v>Sourcing, Carting and Spreading of Topsoil over an Area</v>
      </c>
      <c r="D47" s="239" t="s">
        <v>49</v>
      </c>
      <c r="E47" s="240"/>
      <c r="F47" s="246" t="str">
        <f>VLOOKUP($B47,Activities!$A$10:$P$152,4,FALSE)</f>
        <v>m3</v>
      </c>
      <c r="G47" s="313" t="s">
        <v>51</v>
      </c>
      <c r="H47" s="167" t="s">
        <v>264</v>
      </c>
      <c r="I47" s="272">
        <f>VLOOKUP(H47,U18:V22,2)</f>
        <v>0</v>
      </c>
      <c r="J47" s="269"/>
      <c r="K47" s="388">
        <f>IF(D47="Y",IF(J47="",I47*E47,J47*E47),"")</f>
        <v>0</v>
      </c>
      <c r="L47" s="248" t="str">
        <f>IFERROR(IF(D47="Y",K47/$K$66,0%),"0.0%")</f>
        <v>0.0%</v>
      </c>
      <c r="M47" s="290" t="str">
        <f>VLOOKUP($B47,Activities!$A$10:$S$152,19,FALSE)</f>
        <v>This activity covers the sourcing of topsoil or suitable growth medium, transporting from the source to the required area and then spreading it over that area.</v>
      </c>
    </row>
    <row r="48" spans="1:13" ht="45" customHeight="1" thickBot="1" x14ac:dyDescent="0.3">
      <c r="A48" s="1133"/>
      <c r="B48" s="102" t="s">
        <v>21</v>
      </c>
      <c r="C48" s="259" t="str">
        <f>VLOOKUP($B48,Activities!$A$10:$P$152,3,FALSE)</f>
        <v>Scarification to promote vegetation growth</v>
      </c>
      <c r="D48" s="239" t="s">
        <v>49</v>
      </c>
      <c r="E48" s="240"/>
      <c r="F48" s="246" t="str">
        <f>VLOOKUP($B48,Activities!$A$10:$P$152,4,FALSE)</f>
        <v>Ha</v>
      </c>
      <c r="G48" s="1269"/>
      <c r="H48" s="1270"/>
      <c r="I48" s="272">
        <f>VLOOKUP($B48,Activities!$A$10:$S$152,16,FALSE)</f>
        <v>323.54530924221694</v>
      </c>
      <c r="J48" s="269"/>
      <c r="K48" s="388">
        <f t="shared" si="13"/>
        <v>0</v>
      </c>
      <c r="L48" s="248" t="str">
        <f>IFERROR(IF(D48="Y",K48/$K$76,0%),"0.0%")</f>
        <v>0.0%</v>
      </c>
      <c r="M48" s="290" t="str">
        <f>VLOOKUP($B48,Activities!$A$10:$S$152,19,FALSE)</f>
        <v xml:space="preserve">This activity is undertaken in preparation for the seeding of a particular area.  </v>
      </c>
    </row>
    <row r="49" spans="1:13" ht="45" customHeight="1" thickBot="1" x14ac:dyDescent="0.3">
      <c r="A49" s="1133"/>
      <c r="B49" s="245" t="s">
        <v>626</v>
      </c>
      <c r="C49" s="259" t="str">
        <f>VLOOKUP($B49,Activities!$A$10:$P$152,3,FALSE)</f>
        <v>Purchase and single application of ground ameliorants (e.g. gypsum)</v>
      </c>
      <c r="D49" s="239" t="s">
        <v>49</v>
      </c>
      <c r="E49" s="320"/>
      <c r="F49" s="246" t="str">
        <f>VLOOKUP($B49,Activities!$A$10:$P$152,4,FALSE)</f>
        <v>Ha</v>
      </c>
      <c r="G49" s="1269"/>
      <c r="H49" s="1270"/>
      <c r="I49" s="273">
        <f>VLOOKUP($B49,Activities!$A$10:$S$152,16,FALSE)</f>
        <v>877.38983538153695</v>
      </c>
      <c r="J49" s="269"/>
      <c r="K49" s="388">
        <f t="shared" si="13"/>
        <v>0</v>
      </c>
      <c r="L49" s="248" t="str">
        <f t="shared" ref="L49:L57" si="14">IFERROR(IF(D49="Y",K49/$K$59,0%),"0.0%")</f>
        <v>0.0%</v>
      </c>
      <c r="M49" s="290" t="str">
        <f>VLOOKUP($B49,Activities!$A$10:$S$152,19,FALSE)</f>
        <v>This Activity includes the purchase and single application of ground ameliorants (e.g. gypsum).</v>
      </c>
    </row>
    <row r="50" spans="1:13" ht="45" customHeight="1" thickBot="1" x14ac:dyDescent="0.3">
      <c r="A50" s="1133"/>
      <c r="B50" s="245" t="s">
        <v>627</v>
      </c>
      <c r="C50" s="259" t="str">
        <f>VLOOKUP($B50,Activities!$A$10:$P$152,3,FALSE)</f>
        <v>The purchase only of non-native pasture grasses</v>
      </c>
      <c r="D50" s="239" t="s">
        <v>49</v>
      </c>
      <c r="E50" s="320"/>
      <c r="F50" s="246" t="str">
        <f>VLOOKUP($B50,Activities!$A$10:$P$152,4,FALSE)</f>
        <v>Ha</v>
      </c>
      <c r="G50" s="1269"/>
      <c r="H50" s="1270"/>
      <c r="I50" s="273">
        <f>VLOOKUP($B50,Activities!$A$10:$S$152,16,FALSE)</f>
        <v>1774.5180283018869</v>
      </c>
      <c r="J50" s="269"/>
      <c r="K50" s="388">
        <f t="shared" si="13"/>
        <v>0</v>
      </c>
      <c r="L50" s="248" t="str">
        <f t="shared" si="14"/>
        <v>0.0%</v>
      </c>
      <c r="M50" s="290" t="str">
        <f>VLOOKUP($B50,Activities!$A$10:$S$152,19,FALSE)</f>
        <v>This activity covers the purchase of non-native pasture grasses</v>
      </c>
    </row>
    <row r="51" spans="1:13" ht="45" customHeight="1" thickBot="1" x14ac:dyDescent="0.3">
      <c r="A51" s="1133"/>
      <c r="B51" s="245" t="s">
        <v>628</v>
      </c>
      <c r="C51" s="259" t="str">
        <f>VLOOKUP($B51,Activities!$A$10:$P$152,3,FALSE)</f>
        <v>The purchase only of general native seed mix</v>
      </c>
      <c r="D51" s="239" t="s">
        <v>49</v>
      </c>
      <c r="E51" s="320"/>
      <c r="F51" s="246" t="str">
        <f>VLOOKUP($B51,Activities!$A$10:$P$152,4,FALSE)</f>
        <v>Ha</v>
      </c>
      <c r="G51" s="1269"/>
      <c r="H51" s="1270"/>
      <c r="I51" s="273">
        <f>VLOOKUP($B51,Activities!$A$10:$S$152,16,FALSE)</f>
        <v>3439.8717452830197</v>
      </c>
      <c r="J51" s="269"/>
      <c r="K51" s="388">
        <f t="shared" si="13"/>
        <v>0</v>
      </c>
      <c r="L51" s="248" t="str">
        <f t="shared" si="14"/>
        <v>0.0%</v>
      </c>
      <c r="M51" s="290" t="str">
        <f>VLOOKUP($B51,Activities!$A$10:$S$152,19,FALSE)</f>
        <v>This activity covers the purchase of general native seed mix</v>
      </c>
    </row>
    <row r="52" spans="1:13" ht="45" customHeight="1" thickBot="1" x14ac:dyDescent="0.3">
      <c r="A52" s="1133"/>
      <c r="B52" s="245" t="s">
        <v>629</v>
      </c>
      <c r="C52" s="259" t="str">
        <f>VLOOKUP($B52,Activities!$A$10:$P$152,3,FALSE)</f>
        <v>The purchase only of local provenance native seed mix</v>
      </c>
      <c r="D52" s="239" t="s">
        <v>49</v>
      </c>
      <c r="E52" s="320"/>
      <c r="F52" s="246" t="str">
        <f>VLOOKUP($B52,Activities!$A$10:$P$152,4,FALSE)</f>
        <v>Ha</v>
      </c>
      <c r="G52" s="1269"/>
      <c r="H52" s="1270"/>
      <c r="I52" s="273">
        <f>VLOOKUP($B52,Activities!$A$10:$S$152,16,FALSE)</f>
        <v>10525.680933962265</v>
      </c>
      <c r="J52" s="269"/>
      <c r="K52" s="388">
        <f t="shared" si="13"/>
        <v>0</v>
      </c>
      <c r="L52" s="248" t="str">
        <f t="shared" si="14"/>
        <v>0.0%</v>
      </c>
      <c r="M52" s="290" t="str">
        <f>VLOOKUP($B52,Activities!$A$10:$S$152,19,FALSE)</f>
        <v>This activity covers the purchase of local provenance native seed mix</v>
      </c>
    </row>
    <row r="53" spans="1:13" ht="45" customHeight="1" thickBot="1" x14ac:dyDescent="0.3">
      <c r="A53" s="1133"/>
      <c r="B53" s="245" t="s">
        <v>630</v>
      </c>
      <c r="C53" s="259" t="str">
        <f>VLOOKUP($B53,Activities!$A$10:$P$152,3,FALSE)</f>
        <v>The purchase only of fertiliser for broadcast application</v>
      </c>
      <c r="D53" s="239" t="s">
        <v>49</v>
      </c>
      <c r="E53" s="320"/>
      <c r="F53" s="246" t="str">
        <f>VLOOKUP($B53,Activities!$A$10:$P$152,4,FALSE)</f>
        <v>Ha</v>
      </c>
      <c r="G53" s="1269"/>
      <c r="H53" s="1270"/>
      <c r="I53" s="273">
        <f>VLOOKUP($B53,Activities!$A$10:$S$152,16,FALSE)</f>
        <v>613.30500000000006</v>
      </c>
      <c r="J53" s="269"/>
      <c r="K53" s="388">
        <f t="shared" si="13"/>
        <v>0</v>
      </c>
      <c r="L53" s="248" t="str">
        <f t="shared" si="14"/>
        <v>0.0%</v>
      </c>
      <c r="M53" s="290" t="str">
        <f>VLOOKUP($B53,Activities!$A$10:$S$152,19,FALSE)</f>
        <v>This activity covers the purchase of local fertiliser for broadcast application.  It does not inlcude the application.</v>
      </c>
    </row>
    <row r="54" spans="1:13" ht="45" customHeight="1" thickBot="1" x14ac:dyDescent="0.3">
      <c r="A54" s="1133"/>
      <c r="B54" s="245" t="s">
        <v>631</v>
      </c>
      <c r="C54" s="259" t="str">
        <f>VLOOKUP($B54,Activities!$A$10:$P$152,3,FALSE)</f>
        <v>The purchase of native tubestock (including slow release fertiliser)</v>
      </c>
      <c r="D54" s="239" t="s">
        <v>49</v>
      </c>
      <c r="E54" s="320"/>
      <c r="F54" s="246" t="str">
        <f>VLOOKUP($B54,Activities!$A$10:$P$152,4,FALSE)</f>
        <v>Ha</v>
      </c>
      <c r="G54" s="1269"/>
      <c r="H54" s="1270"/>
      <c r="I54" s="273">
        <f>VLOOKUP($B54,Activities!$A$10:$S$152,16,FALSE)</f>
        <v>19729.952830188682</v>
      </c>
      <c r="J54" s="269"/>
      <c r="K54" s="388">
        <f t="shared" si="13"/>
        <v>0</v>
      </c>
      <c r="L54" s="248" t="str">
        <f t="shared" si="14"/>
        <v>0.0%</v>
      </c>
      <c r="M54" s="290" t="str">
        <f>VLOOKUP($B54,Activities!$A$10:$S$152,19,FALSE)</f>
        <v>The Activity includes the purchase of native tubestock (including slow release fertiliser).  It does not include planting.</v>
      </c>
    </row>
    <row r="55" spans="1:13" ht="45" customHeight="1" thickBot="1" x14ac:dyDescent="0.3">
      <c r="A55" s="1133"/>
      <c r="B55" s="245" t="s">
        <v>632</v>
      </c>
      <c r="C55" s="259" t="str">
        <f>VLOOKUP($B55,Activities!$A$10:$P$152,3,FALSE)</f>
        <v>Direct seeding along rip line or mechanical broadcast seeding</v>
      </c>
      <c r="D55" s="239" t="s">
        <v>49</v>
      </c>
      <c r="E55" s="320"/>
      <c r="F55" s="246" t="str">
        <f>VLOOKUP($B55,Activities!$A$10:$P$152,4,FALSE)</f>
        <v>Ha</v>
      </c>
      <c r="G55" s="1269"/>
      <c r="H55" s="1270"/>
      <c r="I55" s="273">
        <f>VLOOKUP($B55,Activities!$A$10:$S$152,16,FALSE)</f>
        <v>2100.7838269402318</v>
      </c>
      <c r="J55" s="269"/>
      <c r="K55" s="388">
        <f t="shared" si="13"/>
        <v>0</v>
      </c>
      <c r="L55" s="248" t="str">
        <f t="shared" si="14"/>
        <v>0.0%</v>
      </c>
      <c r="M55" s="290" t="str">
        <f>VLOOKUP($B55,Activities!$A$10:$S$152,19,FALSE)</f>
        <v>Sowing of separately purchased seed and or fertiliser for broadcast application that involves scattering seed, by hand or mechanically, over a relatively large area.</v>
      </c>
    </row>
    <row r="56" spans="1:13" ht="45" customHeight="1" thickBot="1" x14ac:dyDescent="0.3">
      <c r="A56" s="1133"/>
      <c r="B56" s="245" t="s">
        <v>633</v>
      </c>
      <c r="C56" s="259" t="str">
        <f>VLOOKUP($B56,Activities!$A$10:$P$152,3,FALSE)</f>
        <v>Hydromulching (does not include seed or fertiliser)</v>
      </c>
      <c r="D56" s="239" t="s">
        <v>49</v>
      </c>
      <c r="E56" s="240"/>
      <c r="F56" s="246" t="str">
        <f>VLOOKUP($B56,Activities!$A$10:$P$152,4,FALSE)</f>
        <v>Ha</v>
      </c>
      <c r="G56" s="1269"/>
      <c r="H56" s="1270"/>
      <c r="I56" s="273">
        <f>VLOOKUP($B56,Activities!$A$10:$S$152,16,FALSE)</f>
        <v>1583.2664818030244</v>
      </c>
      <c r="J56" s="269"/>
      <c r="K56" s="388">
        <f t="shared" si="13"/>
        <v>0</v>
      </c>
      <c r="L56" s="248" t="str">
        <f t="shared" si="14"/>
        <v>0.0%</v>
      </c>
      <c r="M56" s="290" t="str">
        <f>VLOOKUP($B56,Activities!$A$10:$S$152,19,FALSE)</f>
        <v>Hydromulching planting process that uses a slurry of seed and mulch. It is often used as an erosion control technique as an alternative to the traditional process of broadcasting or sowing dry seed.</v>
      </c>
    </row>
    <row r="57" spans="1:13" ht="48.75" customHeight="1" thickBot="1" x14ac:dyDescent="0.3">
      <c r="A57" s="1133"/>
      <c r="B57" s="245" t="s">
        <v>717</v>
      </c>
      <c r="C57" s="259" t="str">
        <f>VLOOKUP($B57,Activities!$A$10:$P$152,3,FALSE)</f>
        <v>Planting of tubestock &lt;15cm (assumes 1,000 plants per hectare)</v>
      </c>
      <c r="D57" s="239" t="s">
        <v>49</v>
      </c>
      <c r="E57" s="240"/>
      <c r="F57" s="246" t="str">
        <f>VLOOKUP($B57,Activities!$A$10:$P$152,4,FALSE)</f>
        <v>Ha</v>
      </c>
      <c r="G57" s="1269"/>
      <c r="H57" s="1270"/>
      <c r="I57" s="273">
        <f>VLOOKUP($B57,Activities!$A$10:$S$152,16,FALSE)</f>
        <v>1714.118869047619</v>
      </c>
      <c r="J57" s="269"/>
      <c r="K57" s="388">
        <f t="shared" si="13"/>
        <v>0</v>
      </c>
      <c r="L57" s="248" t="str">
        <f t="shared" si="14"/>
        <v>0.0%</v>
      </c>
      <c r="M57" s="290" t="str">
        <f>VLOOKUP($B57,Activities!$A$10:$S$152,19,FALSE)</f>
        <v>This Activity covers the hand planting of tubestock plants across a broad area.</v>
      </c>
    </row>
    <row r="58" spans="1:13" ht="62.25" customHeight="1" thickBot="1" x14ac:dyDescent="0.3">
      <c r="A58" s="1133"/>
      <c r="B58" s="245" t="s">
        <v>25</v>
      </c>
      <c r="C58" s="259" t="str">
        <f>VLOOKUP($B58,Activities!$A$10:$P$152,3,FALSE)</f>
        <v xml:space="preserve">Construction of a stock proof fence including appropriate gates </v>
      </c>
      <c r="D58" s="239" t="s">
        <v>49</v>
      </c>
      <c r="E58" s="240"/>
      <c r="F58" s="246" t="str">
        <f>VLOOKUP($B58,Activities!$A$10:$P$152,4,FALSE)</f>
        <v>km</v>
      </c>
      <c r="G58" s="1269"/>
      <c r="H58" s="1270"/>
      <c r="I58" s="273">
        <f>VLOOKUP($B58,Activities!$A$10:$S$152,16,FALSE)</f>
        <v>13302.992584007126</v>
      </c>
      <c r="J58" s="269"/>
      <c r="K58" s="388">
        <f t="shared" si="13"/>
        <v>0</v>
      </c>
      <c r="L58" s="248" t="str">
        <f>IFERROR(IF(D58="Y",K58/$K$76,0%),"0.0%")</f>
        <v>0.0%</v>
      </c>
      <c r="M58" s="290" t="str">
        <f>VLOOKUP($B58,Activities!$A$10:$S$152,19,FALSE)</f>
        <v>This activity involves the construction of a stock proof fence to protect revegetation against stock and to provide an obstacle to persons to prevent inadvertant access.  It is not designed to prevent a person climbing over it.  It includes an allowance for gates.</v>
      </c>
    </row>
    <row r="59" spans="1:13" ht="48.75" customHeight="1" thickBot="1" x14ac:dyDescent="0.3">
      <c r="A59" s="1134"/>
      <c r="B59" s="270"/>
      <c r="C59" s="271" t="s">
        <v>55</v>
      </c>
      <c r="D59" s="239" t="s">
        <v>49</v>
      </c>
      <c r="E59" s="346"/>
      <c r="F59" s="296"/>
      <c r="G59" s="1269"/>
      <c r="H59" s="1270"/>
      <c r="I59" s="355" t="s">
        <v>475</v>
      </c>
      <c r="J59" s="269"/>
      <c r="K59" s="388">
        <f>IF(D59="Y",J59*E59,"")</f>
        <v>0</v>
      </c>
      <c r="L59" s="248" t="str">
        <f>IFERROR(IF(D59="Y",K59/$K$66,0%),"0.0%")</f>
        <v>0.0%</v>
      </c>
      <c r="M59" s="139" t="s">
        <v>56</v>
      </c>
    </row>
    <row r="60" spans="1:13" ht="15.75" thickBot="1" x14ac:dyDescent="0.3">
      <c r="A60" s="249" t="s">
        <v>53</v>
      </c>
      <c r="B60" s="345" t="str">
        <f>A47</f>
        <v>Topsoil Preparation and Revegetation of Processing Plant Area</v>
      </c>
      <c r="C60" s="300"/>
      <c r="D60" s="252"/>
      <c r="E60" s="253"/>
      <c r="F60" s="252"/>
      <c r="G60" s="252"/>
      <c r="H60" s="252"/>
      <c r="I60" s="254"/>
      <c r="J60" s="255"/>
      <c r="K60" s="256">
        <f>SUM(K47:K59)</f>
        <v>0</v>
      </c>
      <c r="L60" s="252"/>
      <c r="M60" s="257"/>
    </row>
    <row r="61" spans="1:13" ht="55.5" customHeight="1" thickBot="1" x14ac:dyDescent="0.3">
      <c r="A61" s="1333" t="s">
        <v>245</v>
      </c>
      <c r="B61" s="270"/>
      <c r="C61" s="295" t="s">
        <v>55</v>
      </c>
      <c r="D61" s="239" t="s">
        <v>49</v>
      </c>
      <c r="E61" s="346"/>
      <c r="F61" s="296"/>
      <c r="G61" s="1269"/>
      <c r="H61" s="1270"/>
      <c r="I61" s="355" t="s">
        <v>475</v>
      </c>
      <c r="J61" s="269"/>
      <c r="K61" s="388">
        <f>IF(D61="Y",J61*E61,"")</f>
        <v>0</v>
      </c>
      <c r="L61" s="248" t="str">
        <f>IFERROR(IF(D61="Y",K61/$K$66,0%),"0.0%")</f>
        <v>0.0%</v>
      </c>
      <c r="M61" s="139" t="s">
        <v>56</v>
      </c>
    </row>
    <row r="62" spans="1:13" ht="55.5" customHeight="1" thickBot="1" x14ac:dyDescent="0.3">
      <c r="A62" s="1334"/>
      <c r="B62" s="270"/>
      <c r="C62" s="295" t="s">
        <v>55</v>
      </c>
      <c r="D62" s="239" t="s">
        <v>49</v>
      </c>
      <c r="E62" s="346"/>
      <c r="F62" s="296"/>
      <c r="G62" s="1269"/>
      <c r="H62" s="1270"/>
      <c r="I62" s="355" t="s">
        <v>475</v>
      </c>
      <c r="J62" s="269"/>
      <c r="K62" s="388">
        <f>IF(D62="Y",J62*E62,"")</f>
        <v>0</v>
      </c>
      <c r="L62" s="248" t="str">
        <f>IFERROR(IF(D62="Y",K62/$K$66,0%),"0.0%")</f>
        <v>0.0%</v>
      </c>
      <c r="M62" s="139" t="s">
        <v>56</v>
      </c>
    </row>
    <row r="63" spans="1:13" ht="55.5" customHeight="1" thickBot="1" x14ac:dyDescent="0.3">
      <c r="A63" s="1335"/>
      <c r="B63" s="270"/>
      <c r="C63" s="295" t="s">
        <v>55</v>
      </c>
      <c r="D63" s="239" t="s">
        <v>49</v>
      </c>
      <c r="E63" s="346"/>
      <c r="F63" s="296"/>
      <c r="G63" s="1269"/>
      <c r="H63" s="1270"/>
      <c r="I63" s="355" t="s">
        <v>475</v>
      </c>
      <c r="J63" s="269"/>
      <c r="K63" s="388">
        <f>IF(D63="Y",J63*E63,"")</f>
        <v>0</v>
      </c>
      <c r="L63" s="248" t="str">
        <f>IFERROR(IF(D63="Y",K63/$K$66,0%),"0.0%")</f>
        <v>0.0%</v>
      </c>
      <c r="M63" s="139" t="s">
        <v>56</v>
      </c>
    </row>
    <row r="64" spans="1:13" ht="15.75" thickBot="1" x14ac:dyDescent="0.3">
      <c r="A64" s="249" t="s">
        <v>53</v>
      </c>
      <c r="B64" s="345" t="str">
        <f>A61</f>
        <v>Other Activity in Processing Area Specific to this Operation</v>
      </c>
      <c r="C64" s="251"/>
      <c r="D64" s="252"/>
      <c r="E64" s="253"/>
      <c r="F64" s="252"/>
      <c r="G64" s="252"/>
      <c r="H64" s="252"/>
      <c r="I64" s="254"/>
      <c r="J64" s="255"/>
      <c r="K64" s="256">
        <f>SUM(K61:K63)</f>
        <v>0</v>
      </c>
      <c r="L64" s="252"/>
      <c r="M64" s="257"/>
    </row>
    <row r="65" spans="1:13" x14ac:dyDescent="0.25">
      <c r="A65" s="260"/>
      <c r="B65" s="260"/>
      <c r="C65" s="261"/>
      <c r="D65" s="262"/>
      <c r="E65" s="263"/>
      <c r="F65" s="262"/>
      <c r="G65" s="262"/>
      <c r="H65" s="262"/>
      <c r="I65" s="264"/>
      <c r="J65" s="265"/>
      <c r="K65" s="266"/>
      <c r="L65" s="262"/>
      <c r="M65" s="261"/>
    </row>
    <row r="66" spans="1:13" ht="21" x14ac:dyDescent="0.25">
      <c r="A66" s="260"/>
      <c r="B66" s="260"/>
      <c r="C66" s="261"/>
      <c r="D66" s="262"/>
      <c r="E66" s="263"/>
      <c r="F66" s="262"/>
      <c r="G66" s="262"/>
      <c r="H66" s="262"/>
      <c r="J66" s="267" t="s">
        <v>927</v>
      </c>
      <c r="K66" s="268">
        <f>K25+K38+K46+K60+K64</f>
        <v>0</v>
      </c>
      <c r="L66" s="262"/>
      <c r="M66" s="261"/>
    </row>
    <row r="67" spans="1:13" x14ac:dyDescent="0.25">
      <c r="A67" s="260"/>
      <c r="B67" s="260"/>
      <c r="C67" s="261"/>
      <c r="D67" s="262"/>
      <c r="E67" s="263"/>
      <c r="F67" s="262"/>
      <c r="G67" s="262"/>
      <c r="H67" s="262"/>
      <c r="I67" s="264"/>
      <c r="J67" s="265"/>
      <c r="K67" s="266"/>
      <c r="L67" s="262"/>
      <c r="M67" s="261"/>
    </row>
    <row r="68" spans="1:13" x14ac:dyDescent="0.25">
      <c r="A68" s="260"/>
      <c r="B68" s="260"/>
      <c r="C68" s="261"/>
      <c r="D68" s="262"/>
      <c r="E68" s="263"/>
      <c r="F68" s="262"/>
      <c r="G68" s="262"/>
      <c r="H68" s="262"/>
      <c r="I68" s="264"/>
      <c r="J68" s="265"/>
      <c r="K68" s="266"/>
      <c r="L68" s="262"/>
      <c r="M68" s="261"/>
    </row>
    <row r="69" spans="1:13" x14ac:dyDescent="0.25">
      <c r="A69" s="260"/>
      <c r="B69" s="260"/>
      <c r="C69" s="261"/>
      <c r="D69" s="262"/>
      <c r="E69" s="263"/>
      <c r="F69" s="262"/>
      <c r="G69" s="262"/>
      <c r="H69" s="262"/>
      <c r="I69" s="264"/>
      <c r="J69" s="265"/>
      <c r="K69" s="266"/>
      <c r="L69" s="262"/>
      <c r="M69" s="261"/>
    </row>
    <row r="70" spans="1:13" x14ac:dyDescent="0.25">
      <c r="A70" s="260"/>
      <c r="B70" s="260"/>
      <c r="C70" s="261"/>
      <c r="D70" s="262"/>
      <c r="E70" s="263"/>
      <c r="F70" s="262"/>
      <c r="G70" s="262"/>
      <c r="H70" s="262"/>
      <c r="I70" s="264"/>
      <c r="J70" s="265"/>
      <c r="K70" s="266"/>
      <c r="L70" s="262"/>
      <c r="M70" s="261"/>
    </row>
    <row r="71" spans="1:13" ht="15.75" x14ac:dyDescent="0.25">
      <c r="A71" s="260"/>
      <c r="B71" s="260"/>
      <c r="C71" s="261"/>
      <c r="D71" s="262"/>
      <c r="E71" s="303"/>
      <c r="F71" s="262"/>
      <c r="G71" s="262"/>
      <c r="H71" s="262"/>
      <c r="I71" s="264"/>
      <c r="J71" s="265"/>
      <c r="K71" s="266"/>
      <c r="L71" s="262"/>
      <c r="M71" s="261"/>
    </row>
    <row r="72" spans="1:13" x14ac:dyDescent="0.25">
      <c r="A72" s="260"/>
      <c r="B72" s="260"/>
      <c r="C72" s="261"/>
      <c r="D72" s="262"/>
      <c r="E72" s="263"/>
      <c r="F72" s="262"/>
      <c r="G72" s="262"/>
      <c r="H72" s="262"/>
      <c r="I72" s="264"/>
      <c r="J72" s="265"/>
      <c r="K72" s="266"/>
      <c r="L72" s="262"/>
      <c r="M72" s="261"/>
    </row>
    <row r="73" spans="1:13" x14ac:dyDescent="0.25">
      <c r="A73" s="260"/>
      <c r="B73" s="260"/>
      <c r="C73" s="261"/>
      <c r="D73" s="262"/>
      <c r="E73" s="263"/>
      <c r="F73" s="262"/>
      <c r="G73" s="262"/>
      <c r="H73" s="262"/>
      <c r="I73" s="264"/>
      <c r="J73" s="265"/>
      <c r="K73" s="266"/>
      <c r="L73" s="262"/>
      <c r="M73" s="261"/>
    </row>
    <row r="74" spans="1:13" x14ac:dyDescent="0.25">
      <c r="A74" s="260"/>
      <c r="B74" s="260"/>
      <c r="C74" s="261"/>
      <c r="D74" s="262"/>
      <c r="E74" s="263"/>
      <c r="F74" s="262"/>
      <c r="G74" s="262"/>
      <c r="H74" s="262"/>
      <c r="I74" s="264"/>
      <c r="J74" s="265"/>
      <c r="K74" s="266"/>
      <c r="L74" s="262"/>
      <c r="M74" s="261"/>
    </row>
    <row r="75" spans="1:13" x14ac:dyDescent="0.25">
      <c r="A75" s="260"/>
      <c r="B75" s="260"/>
      <c r="C75" s="261"/>
      <c r="D75" s="262"/>
      <c r="E75" s="263"/>
      <c r="F75" s="262"/>
      <c r="G75" s="262"/>
      <c r="H75" s="262"/>
      <c r="I75" s="264"/>
      <c r="J75" s="265"/>
      <c r="K75" s="266"/>
      <c r="L75" s="262"/>
      <c r="M75" s="261"/>
    </row>
    <row r="76" spans="1:13" x14ac:dyDescent="0.25">
      <c r="A76" s="260"/>
      <c r="B76" s="260"/>
      <c r="C76" s="261"/>
      <c r="D76" s="262"/>
      <c r="E76" s="263"/>
      <c r="F76" s="262"/>
      <c r="G76" s="262"/>
      <c r="H76" s="262"/>
      <c r="I76" s="264"/>
      <c r="J76" s="265"/>
      <c r="K76" s="266"/>
      <c r="L76" s="262"/>
      <c r="M76" s="261"/>
    </row>
    <row r="77" spans="1:13" x14ac:dyDescent="0.25">
      <c r="A77" s="260"/>
      <c r="B77" s="260"/>
      <c r="C77" s="261"/>
      <c r="D77" s="262"/>
      <c r="E77" s="263"/>
      <c r="F77" s="262"/>
      <c r="G77" s="262"/>
      <c r="H77" s="262"/>
      <c r="I77" s="264"/>
      <c r="J77" s="265"/>
      <c r="K77" s="266"/>
      <c r="L77" s="262"/>
      <c r="M77" s="261"/>
    </row>
    <row r="78" spans="1:13" x14ac:dyDescent="0.25">
      <c r="A78" s="260"/>
      <c r="B78" s="260"/>
      <c r="C78" s="261"/>
      <c r="D78" s="262"/>
      <c r="E78" s="262"/>
      <c r="F78" s="262"/>
      <c r="G78" s="262"/>
      <c r="H78" s="262"/>
      <c r="I78" s="264"/>
      <c r="J78" s="265"/>
      <c r="K78" s="266"/>
      <c r="L78" s="262"/>
      <c r="M78" s="261"/>
    </row>
    <row r="79" spans="1:13" x14ac:dyDescent="0.25">
      <c r="A79" s="260"/>
      <c r="B79" s="260"/>
      <c r="C79" s="261"/>
      <c r="D79" s="262"/>
      <c r="E79" s="262"/>
      <c r="F79" s="262"/>
      <c r="G79" s="262"/>
      <c r="H79" s="262"/>
      <c r="I79" s="264"/>
      <c r="J79" s="265"/>
      <c r="K79" s="266"/>
      <c r="L79" s="262"/>
      <c r="M79" s="261"/>
    </row>
    <row r="80" spans="1:13" x14ac:dyDescent="0.25">
      <c r="C80" s="261"/>
      <c r="D80" s="262"/>
      <c r="E80" s="262"/>
      <c r="F80" s="262"/>
      <c r="G80" s="262"/>
      <c r="H80" s="262"/>
      <c r="I80" s="264"/>
      <c r="J80" s="265"/>
      <c r="K80" s="262"/>
      <c r="L80" s="262"/>
      <c r="M80" s="261"/>
    </row>
    <row r="81" spans="3:13" x14ac:dyDescent="0.25">
      <c r="C81" s="261"/>
      <c r="D81" s="262"/>
      <c r="E81" s="262"/>
      <c r="F81" s="262"/>
      <c r="G81" s="262"/>
      <c r="H81" s="262"/>
      <c r="I81" s="264"/>
      <c r="J81" s="265"/>
      <c r="K81" s="262"/>
      <c r="L81" s="262"/>
      <c r="M81" s="261"/>
    </row>
    <row r="82" spans="3:13" x14ac:dyDescent="0.25">
      <c r="C82" s="261"/>
      <c r="D82" s="262"/>
      <c r="E82" s="262"/>
      <c r="F82" s="262"/>
      <c r="G82" s="262"/>
      <c r="H82" s="262"/>
      <c r="I82" s="262"/>
      <c r="J82" s="262"/>
      <c r="K82" s="262"/>
      <c r="L82" s="262"/>
      <c r="M82" s="261"/>
    </row>
    <row r="83" spans="3:13" x14ac:dyDescent="0.25">
      <c r="D83" s="262"/>
      <c r="E83" s="262"/>
      <c r="F83" s="262"/>
      <c r="G83" s="262"/>
      <c r="H83" s="262"/>
      <c r="I83" s="262"/>
      <c r="J83" s="262"/>
      <c r="K83" s="262"/>
      <c r="L83" s="262"/>
    </row>
    <row r="84" spans="3:13" x14ac:dyDescent="0.25">
      <c r="D84" s="262"/>
      <c r="E84" s="262"/>
      <c r="F84" s="262"/>
      <c r="G84" s="262"/>
      <c r="H84" s="262"/>
      <c r="I84" s="262"/>
      <c r="J84" s="262"/>
      <c r="K84" s="262"/>
      <c r="L84" s="262"/>
    </row>
    <row r="85" spans="3:13" x14ac:dyDescent="0.25">
      <c r="D85" s="262"/>
      <c r="E85" s="262"/>
      <c r="F85" s="262"/>
      <c r="G85" s="262"/>
      <c r="H85" s="262"/>
      <c r="I85" s="262"/>
      <c r="J85" s="262"/>
      <c r="K85" s="262"/>
      <c r="L85" s="262"/>
    </row>
    <row r="86" spans="3:13" x14ac:dyDescent="0.25">
      <c r="D86" s="262"/>
      <c r="E86" s="262"/>
      <c r="F86" s="262"/>
      <c r="G86" s="262"/>
      <c r="H86" s="262"/>
      <c r="I86" s="262"/>
      <c r="J86" s="262"/>
      <c r="K86" s="262"/>
      <c r="L86" s="262"/>
    </row>
    <row r="87" spans="3:13" x14ac:dyDescent="0.25">
      <c r="D87" s="262"/>
      <c r="E87" s="262"/>
      <c r="F87" s="262"/>
      <c r="G87" s="262"/>
      <c r="H87" s="262"/>
      <c r="I87" s="262"/>
      <c r="J87" s="262"/>
      <c r="K87" s="262"/>
      <c r="L87" s="262"/>
    </row>
    <row r="88" spans="3:13" x14ac:dyDescent="0.25">
      <c r="D88" s="262"/>
      <c r="E88" s="262"/>
      <c r="F88" s="262"/>
      <c r="G88" s="262"/>
      <c r="H88" s="262"/>
      <c r="I88" s="262"/>
      <c r="J88" s="262"/>
      <c r="K88" s="262"/>
      <c r="L88" s="262"/>
    </row>
    <row r="89" spans="3:13" x14ac:dyDescent="0.25">
      <c r="D89" s="262"/>
      <c r="E89" s="262"/>
      <c r="F89" s="262"/>
      <c r="G89" s="262"/>
      <c r="H89" s="262"/>
      <c r="I89" s="262"/>
      <c r="J89" s="262"/>
      <c r="K89" s="262"/>
      <c r="L89" s="262"/>
    </row>
    <row r="90" spans="3:13" x14ac:dyDescent="0.25">
      <c r="D90" s="262"/>
      <c r="E90" s="262"/>
      <c r="F90" s="262"/>
      <c r="G90" s="262"/>
      <c r="H90" s="262"/>
      <c r="I90" s="262"/>
      <c r="J90" s="262"/>
      <c r="K90" s="262"/>
      <c r="L90" s="262"/>
    </row>
    <row r="91" spans="3:13" x14ac:dyDescent="0.25">
      <c r="D91" s="262"/>
      <c r="E91" s="262"/>
      <c r="F91" s="262"/>
      <c r="G91" s="262"/>
      <c r="H91" s="262"/>
      <c r="I91" s="262"/>
      <c r="J91" s="262"/>
      <c r="K91" s="262"/>
      <c r="L91" s="262"/>
    </row>
    <row r="92" spans="3:13" x14ac:dyDescent="0.25">
      <c r="D92" s="262"/>
      <c r="E92" s="262"/>
      <c r="F92" s="262"/>
      <c r="G92" s="262"/>
      <c r="H92" s="262"/>
      <c r="I92" s="262"/>
      <c r="J92" s="262"/>
      <c r="K92" s="262"/>
      <c r="L92" s="262"/>
    </row>
    <row r="93" spans="3:13" x14ac:dyDescent="0.25">
      <c r="D93" s="262"/>
      <c r="E93" s="262"/>
      <c r="F93" s="262"/>
      <c r="G93" s="262"/>
      <c r="H93" s="262"/>
      <c r="I93" s="262"/>
      <c r="J93" s="262"/>
      <c r="K93" s="262"/>
      <c r="L93" s="262"/>
    </row>
    <row r="94" spans="3:13" x14ac:dyDescent="0.25">
      <c r="D94" s="262"/>
      <c r="E94" s="262"/>
      <c r="F94" s="262"/>
      <c r="G94" s="262"/>
      <c r="H94" s="262"/>
      <c r="I94" s="262"/>
      <c r="J94" s="262"/>
      <c r="K94" s="262"/>
      <c r="L94" s="262"/>
    </row>
  </sheetData>
  <sheetProtection algorithmName="SHA-512" hashValue="7pD6kAxgTmX3YJCbzatJMfuyfdlZjAsR+2uYI6SYoo/kmJQip2GdV2UPUMljfVB7ryRvnKYxtb3C3r0TqyPkAQ==" saltValue="lBty00VlUKvnKtxQlmddAA==" spinCount="100000" sheet="1" formatCells="0" formatRows="0" selectLockedCells="1"/>
  <mergeCells count="66">
    <mergeCell ref="L20:M20"/>
    <mergeCell ref="G21:H21"/>
    <mergeCell ref="R8:V8"/>
    <mergeCell ref="Y22:Z22"/>
    <mergeCell ref="G33:H33"/>
    <mergeCell ref="G24:H24"/>
    <mergeCell ref="R16:V16"/>
    <mergeCell ref="G54:H54"/>
    <mergeCell ref="G55:H55"/>
    <mergeCell ref="G49:H49"/>
    <mergeCell ref="G50:H50"/>
    <mergeCell ref="G51:H51"/>
    <mergeCell ref="G52:H52"/>
    <mergeCell ref="G53:H53"/>
    <mergeCell ref="A5:E6"/>
    <mergeCell ref="G5:J5"/>
    <mergeCell ref="G6:M7"/>
    <mergeCell ref="B7:E7"/>
    <mergeCell ref="B8:E8"/>
    <mergeCell ref="G8:M19"/>
    <mergeCell ref="B9:E9"/>
    <mergeCell ref="B10:E10"/>
    <mergeCell ref="B11:E11"/>
    <mergeCell ref="B12:E12"/>
    <mergeCell ref="A14:B14"/>
    <mergeCell ref="C14:E14"/>
    <mergeCell ref="A15:B15"/>
    <mergeCell ref="C15:E15"/>
    <mergeCell ref="A1:B1"/>
    <mergeCell ref="C1:E1"/>
    <mergeCell ref="K1:L1"/>
    <mergeCell ref="C2:E2"/>
    <mergeCell ref="C3:E3"/>
    <mergeCell ref="F1:J3"/>
    <mergeCell ref="A61:A63"/>
    <mergeCell ref="A26:A37"/>
    <mergeCell ref="G26:H26"/>
    <mergeCell ref="G23:H23"/>
    <mergeCell ref="G22:H22"/>
    <mergeCell ref="G63:H63"/>
    <mergeCell ref="G62:H62"/>
    <mergeCell ref="G61:H61"/>
    <mergeCell ref="G59:H59"/>
    <mergeCell ref="G58:H58"/>
    <mergeCell ref="G45:H45"/>
    <mergeCell ref="G56:H56"/>
    <mergeCell ref="G39:H39"/>
    <mergeCell ref="G48:H48"/>
    <mergeCell ref="G42:H42"/>
    <mergeCell ref="G44:H44"/>
    <mergeCell ref="R1:V1"/>
    <mergeCell ref="R24:V24"/>
    <mergeCell ref="A47:A59"/>
    <mergeCell ref="A39:A45"/>
    <mergeCell ref="G57:H57"/>
    <mergeCell ref="G28:H28"/>
    <mergeCell ref="A22:A23"/>
    <mergeCell ref="G31:H31"/>
    <mergeCell ref="G29:H29"/>
    <mergeCell ref="G27:H27"/>
    <mergeCell ref="G35:H35"/>
    <mergeCell ref="G34:H34"/>
    <mergeCell ref="G37:H37"/>
    <mergeCell ref="G30:H30"/>
    <mergeCell ref="G32:H32"/>
    <mergeCell ref="A16:E19"/>
  </mergeCells>
  <dataValidations count="5">
    <dataValidation type="list" allowBlank="1" showInputMessage="1" showErrorMessage="1" sqref="H40" xr:uid="{00000000-0002-0000-0E00-000000000000}">
      <formula1>$U$26:$U$30</formula1>
    </dataValidation>
    <dataValidation type="list" allowBlank="1" showInputMessage="1" showErrorMessage="1" sqref="H43" xr:uid="{00000000-0002-0000-0E00-000001000000}">
      <formula1>$U$10:$U$14</formula1>
    </dataValidation>
    <dataValidation type="list" allowBlank="1" showInputMessage="1" showErrorMessage="1" sqref="H47" xr:uid="{00000000-0002-0000-0E00-000002000000}">
      <formula1>$U$18:$U$22</formula1>
    </dataValidation>
    <dataValidation type="list" allowBlank="1" showInputMessage="1" showErrorMessage="1" sqref="H41" xr:uid="{00000000-0002-0000-0E00-000003000000}">
      <formula1>$X$24:$X$28</formula1>
    </dataValidation>
    <dataValidation type="list" allowBlank="1" showInputMessage="1" showErrorMessage="1" sqref="H36" xr:uid="{00000000-0002-0000-0E00-000004000000}">
      <formula1>$U$3:$U$7</formula1>
    </dataValidation>
  </dataValidations>
  <pageMargins left="0.70866141732283472" right="0.70866141732283472" top="0.74803149606299213" bottom="0.74803149606299213" header="0.31496062992125984" footer="0.31496062992125984"/>
  <pageSetup paperSize="9" scale="51" fitToHeight="3" orientation="landscape" r:id="rId1"/>
  <headerFooter>
    <oddHeader>&amp;LDepartment for Energy and Mining&amp;C&amp;"Arial"&amp;12&amp;KA80000 OFFICIAL&amp;1#_x000D_</oddHeader>
    <oddFooter>&amp;L&amp;Z
&amp;F&amp;C&amp;P&amp;R&amp;D</oddFooter>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Y83"/>
  <sheetViews>
    <sheetView showGridLines="0" zoomScale="90" zoomScaleNormal="90" workbookViewId="0">
      <selection activeCell="G8" sqref="G8:M19"/>
    </sheetView>
  </sheetViews>
  <sheetFormatPr defaultColWidth="9.140625" defaultRowHeight="15" x14ac:dyDescent="0.25"/>
  <cols>
    <col min="1" max="1" width="18.5703125" style="233" customWidth="1"/>
    <col min="2" max="2" width="10.42578125" style="233" customWidth="1"/>
    <col min="3" max="3" width="38.42578125" style="233" customWidth="1"/>
    <col min="4" max="4" width="13.5703125" style="233" customWidth="1"/>
    <col min="5" max="5" width="11" style="233" customWidth="1"/>
    <col min="6" max="6" width="9.140625" style="233"/>
    <col min="7" max="7" width="21.5703125" style="233" customWidth="1"/>
    <col min="8" max="8" width="15" style="233" customWidth="1"/>
    <col min="9" max="9" width="12.28515625" style="233" customWidth="1"/>
    <col min="10" max="10" width="12.140625" style="233" customWidth="1"/>
    <col min="11" max="11" width="16.7109375" style="233" customWidth="1"/>
    <col min="12" max="12" width="13.5703125" style="233" customWidth="1"/>
    <col min="13" max="13" width="56.5703125" style="233" customWidth="1"/>
    <col min="14" max="16" width="9.140625" style="233"/>
    <col min="17" max="17" width="11.85546875" style="233" customWidth="1"/>
    <col min="18" max="18" width="9.140625" style="233"/>
    <col min="19" max="19" width="16.7109375" style="233" customWidth="1"/>
    <col min="20" max="21" width="9.140625" style="233"/>
    <col min="22" max="22" width="13.28515625" style="233" customWidth="1"/>
    <col min="23" max="23" width="9.140625" style="233"/>
    <col min="24" max="24" width="29.42578125" style="233" bestFit="1" customWidth="1"/>
    <col min="25" max="25" width="10.5703125" style="233" bestFit="1" customWidth="1"/>
    <col min="26" max="16384" width="9.140625" style="233"/>
  </cols>
  <sheetData>
    <row r="1" spans="1:25" ht="45.75" customHeight="1" x14ac:dyDescent="0.25">
      <c r="A1" s="1322" t="s">
        <v>507</v>
      </c>
      <c r="B1" s="1323"/>
      <c r="C1" s="1324" t="str">
        <f>'Summary Page'!E13</f>
        <v/>
      </c>
      <c r="D1" s="1325"/>
      <c r="E1" s="1326"/>
      <c r="F1" s="1360"/>
      <c r="G1" s="1285"/>
      <c r="H1" s="1285"/>
      <c r="I1" s="1285"/>
      <c r="J1" s="1286"/>
      <c r="K1" s="1295" t="s">
        <v>460</v>
      </c>
      <c r="L1" s="1295"/>
      <c r="M1" s="404" t="s">
        <v>871</v>
      </c>
      <c r="P1" s="525" t="str">
        <f>B33</f>
        <v>A1005</v>
      </c>
      <c r="Q1" s="535" t="s">
        <v>19</v>
      </c>
      <c r="R1" s="1273" t="s">
        <v>62</v>
      </c>
      <c r="S1" s="1274"/>
      <c r="T1" s="1274"/>
      <c r="U1" s="1274"/>
      <c r="V1" s="1275"/>
      <c r="X1" s="516" t="s">
        <v>74</v>
      </c>
      <c r="Y1" s="517" t="str">
        <f>B22</f>
        <v>A1001</v>
      </c>
    </row>
    <row r="2" spans="1:25" ht="21" x14ac:dyDescent="0.35">
      <c r="A2" s="368" t="s">
        <v>461</v>
      </c>
      <c r="B2" s="325">
        <v>6</v>
      </c>
      <c r="C2" s="1296" t="str">
        <f>'Summary Page'!E19</f>
        <v/>
      </c>
      <c r="D2" s="1297"/>
      <c r="E2" s="1348"/>
      <c r="F2" s="1287"/>
      <c r="G2" s="1288"/>
      <c r="H2" s="1288"/>
      <c r="I2" s="1288"/>
      <c r="J2" s="1289"/>
      <c r="K2" s="326"/>
      <c r="L2" s="327" t="s">
        <v>152</v>
      </c>
      <c r="M2" s="328">
        <f>K55</f>
        <v>0</v>
      </c>
      <c r="P2" s="297" t="s">
        <v>61</v>
      </c>
      <c r="Q2" s="371" t="s">
        <v>58</v>
      </c>
      <c r="R2" s="371" t="s">
        <v>59</v>
      </c>
      <c r="S2" s="371" t="s">
        <v>60</v>
      </c>
      <c r="T2" s="371" t="s">
        <v>53</v>
      </c>
      <c r="U2" s="372" t="s">
        <v>61</v>
      </c>
      <c r="V2" s="373" t="s">
        <v>53</v>
      </c>
      <c r="X2" s="41" t="s">
        <v>833</v>
      </c>
      <c r="Y2" s="466">
        <f>VLOOKUP(Y1,Activities!A10:Q129,16,FALSE)</f>
        <v>27868.188604263243</v>
      </c>
    </row>
    <row r="3" spans="1:25" ht="21" x14ac:dyDescent="0.25">
      <c r="A3" s="329" t="s">
        <v>267</v>
      </c>
      <c r="B3" s="330">
        <f>'Version Control'!B50</f>
        <v>7</v>
      </c>
      <c r="C3" s="1356"/>
      <c r="D3" s="1357"/>
      <c r="E3" s="1358"/>
      <c r="F3" s="1290"/>
      <c r="G3" s="1291"/>
      <c r="H3" s="1291"/>
      <c r="I3" s="1291"/>
      <c r="J3" s="1292"/>
      <c r="K3" s="331"/>
      <c r="L3" s="332" t="s">
        <v>462</v>
      </c>
      <c r="M3" s="333">
        <f>'Summary Page'!J73</f>
        <v>0</v>
      </c>
      <c r="P3" s="374" t="s">
        <v>35</v>
      </c>
      <c r="Q3" s="357">
        <f>VLOOKUP(P1,Activities!$A$10:$Q$152,16,FALSE)</f>
        <v>1.1086505828514972</v>
      </c>
      <c r="R3" s="357">
        <f>VLOOKUP(Q1,Activities!$A$10:$Q$152,16,FALSE)</f>
        <v>1.1303836975020005</v>
      </c>
      <c r="S3" s="376">
        <v>1</v>
      </c>
      <c r="T3" s="375">
        <f>R3+Q3</f>
        <v>2.2390342803534979</v>
      </c>
      <c r="U3" s="235" t="s">
        <v>35</v>
      </c>
      <c r="V3" s="377">
        <f>T3</f>
        <v>2.2390342803534979</v>
      </c>
      <c r="X3" s="71" t="s">
        <v>836</v>
      </c>
      <c r="Y3" s="467">
        <f>Y2*2</f>
        <v>55736.377208526486</v>
      </c>
    </row>
    <row r="4" spans="1:25" ht="15" customHeight="1" x14ac:dyDescent="0.25">
      <c r="A4" s="334" t="s">
        <v>463</v>
      </c>
      <c r="B4" s="335">
        <f>'Version Control'!A50</f>
        <v>45531</v>
      </c>
      <c r="K4" s="294"/>
      <c r="L4" s="336" t="s">
        <v>464</v>
      </c>
      <c r="M4" s="337" t="e">
        <f>M2/M3</f>
        <v>#DIV/0!</v>
      </c>
      <c r="P4" s="374" t="s">
        <v>36</v>
      </c>
      <c r="Q4" s="375">
        <f>Q3</f>
        <v>1.1086505828514972</v>
      </c>
      <c r="R4" s="375">
        <f>R3*2</f>
        <v>2.260767395004001</v>
      </c>
      <c r="S4" s="376">
        <v>0.8</v>
      </c>
      <c r="T4" s="375">
        <f>Q4+(R4*S4)</f>
        <v>2.9172644988546983</v>
      </c>
      <c r="U4" s="235" t="s">
        <v>36</v>
      </c>
      <c r="V4" s="377">
        <f>T4</f>
        <v>2.9172644988546983</v>
      </c>
      <c r="X4" s="71" t="s">
        <v>834</v>
      </c>
      <c r="Y4" s="467">
        <f>Y2*3</f>
        <v>83604.565812789733</v>
      </c>
    </row>
    <row r="5" spans="1:25" ht="15" customHeight="1" x14ac:dyDescent="0.25">
      <c r="A5" s="1349" t="s">
        <v>465</v>
      </c>
      <c r="B5" s="1298"/>
      <c r="C5" s="1298"/>
      <c r="D5" s="1298"/>
      <c r="E5" s="1299"/>
      <c r="G5" s="1302" t="s">
        <v>466</v>
      </c>
      <c r="H5" s="1303"/>
      <c r="I5" s="1303"/>
      <c r="J5" s="1304"/>
      <c r="P5" s="374" t="s">
        <v>37</v>
      </c>
      <c r="Q5" s="375">
        <f t="shared" ref="Q5:Q6" si="0">Q4</f>
        <v>1.1086505828514972</v>
      </c>
      <c r="R5" s="375">
        <f>R3*4</f>
        <v>4.5215347900080021</v>
      </c>
      <c r="S5" s="376">
        <v>0.7</v>
      </c>
      <c r="T5" s="375">
        <f>Q5+(R5*S5)</f>
        <v>4.2737249358570981</v>
      </c>
      <c r="U5" s="235" t="s">
        <v>37</v>
      </c>
      <c r="V5" s="377">
        <f>T5</f>
        <v>4.2737249358570981</v>
      </c>
      <c r="X5" s="71" t="s">
        <v>835</v>
      </c>
      <c r="Y5" s="467">
        <f>Y2*5</f>
        <v>139340.94302131623</v>
      </c>
    </row>
    <row r="6" spans="1:25" ht="21" customHeight="1" x14ac:dyDescent="0.25">
      <c r="A6" s="1350"/>
      <c r="B6" s="1351"/>
      <c r="C6" s="1351"/>
      <c r="D6" s="1351"/>
      <c r="E6" s="1352"/>
      <c r="F6" s="299"/>
      <c r="G6" s="1305" t="s">
        <v>484</v>
      </c>
      <c r="H6" s="1306"/>
      <c r="I6" s="1306"/>
      <c r="J6" s="1306"/>
      <c r="K6" s="1306"/>
      <c r="L6" s="1306"/>
      <c r="M6" s="1307"/>
      <c r="P6" s="374" t="s">
        <v>38</v>
      </c>
      <c r="Q6" s="375">
        <f t="shared" si="0"/>
        <v>1.1086505828514972</v>
      </c>
      <c r="R6" s="375">
        <f>R3*8</f>
        <v>9.0430695800160041</v>
      </c>
      <c r="S6" s="376">
        <v>0.6</v>
      </c>
      <c r="T6" s="375">
        <f>Q6+(R6*S6)</f>
        <v>6.5344923308610987</v>
      </c>
      <c r="U6" s="235" t="s">
        <v>244</v>
      </c>
      <c r="V6" s="377">
        <f>T6</f>
        <v>6.5344923308610987</v>
      </c>
      <c r="X6" s="52" t="s">
        <v>613</v>
      </c>
      <c r="Y6" s="124"/>
    </row>
    <row r="7" spans="1:25" ht="15" customHeight="1" x14ac:dyDescent="0.25">
      <c r="A7" s="348">
        <v>1</v>
      </c>
      <c r="B7" s="1353" t="s">
        <v>508</v>
      </c>
      <c r="C7" s="1354"/>
      <c r="D7" s="1354"/>
      <c r="E7" s="1355"/>
      <c r="F7" s="339"/>
      <c r="G7" s="1308"/>
      <c r="H7" s="1309"/>
      <c r="I7" s="1309"/>
      <c r="J7" s="1309"/>
      <c r="K7" s="1309"/>
      <c r="L7" s="1309"/>
      <c r="M7" s="1310"/>
      <c r="P7" s="238"/>
      <c r="Q7" s="236"/>
      <c r="R7" s="236"/>
      <c r="S7" s="236"/>
      <c r="T7" s="236"/>
      <c r="U7" s="236" t="s">
        <v>264</v>
      </c>
      <c r="V7" s="237"/>
    </row>
    <row r="8" spans="1:25" ht="18.75" customHeight="1" x14ac:dyDescent="0.3">
      <c r="A8" s="297">
        <v>2</v>
      </c>
      <c r="B8" s="1340" t="s">
        <v>509</v>
      </c>
      <c r="C8" s="1341"/>
      <c r="D8" s="1341"/>
      <c r="E8" s="1342"/>
      <c r="F8" s="339"/>
      <c r="G8" s="1137"/>
      <c r="H8" s="1138"/>
      <c r="I8" s="1138"/>
      <c r="J8" s="1138"/>
      <c r="K8" s="1138"/>
      <c r="L8" s="1138"/>
      <c r="M8" s="1139"/>
      <c r="P8" s="370" t="str">
        <f>B34</f>
        <v>A1006</v>
      </c>
      <c r="Q8" s="550" t="s">
        <v>19</v>
      </c>
      <c r="R8" s="1273" t="s">
        <v>893</v>
      </c>
      <c r="S8" s="1274"/>
      <c r="T8" s="1274"/>
      <c r="U8" s="1274"/>
      <c r="V8" s="1275"/>
    </row>
    <row r="9" spans="1:25" ht="15.75" customHeight="1" x14ac:dyDescent="0.25">
      <c r="A9" s="297">
        <v>3</v>
      </c>
      <c r="B9" s="1343" t="s">
        <v>510</v>
      </c>
      <c r="C9" s="1344"/>
      <c r="D9" s="1344"/>
      <c r="E9" s="1345"/>
      <c r="F9" s="339"/>
      <c r="G9" s="1140"/>
      <c r="H9" s="1329"/>
      <c r="I9" s="1329"/>
      <c r="J9" s="1329"/>
      <c r="K9" s="1329"/>
      <c r="L9" s="1329"/>
      <c r="M9" s="1142"/>
      <c r="P9" s="297" t="s">
        <v>61</v>
      </c>
      <c r="Q9" s="371" t="s">
        <v>58</v>
      </c>
      <c r="R9" s="371" t="s">
        <v>59</v>
      </c>
      <c r="S9" s="371" t="s">
        <v>60</v>
      </c>
      <c r="T9" s="371" t="s">
        <v>53</v>
      </c>
      <c r="U9" s="372" t="s">
        <v>61</v>
      </c>
      <c r="V9" s="373" t="s">
        <v>53</v>
      </c>
    </row>
    <row r="10" spans="1:25" ht="15" customHeight="1" x14ac:dyDescent="0.25">
      <c r="A10" s="297">
        <v>4</v>
      </c>
      <c r="B10" s="1327" t="s">
        <v>511</v>
      </c>
      <c r="C10" s="1327"/>
      <c r="D10" s="1327"/>
      <c r="E10" s="1328"/>
      <c r="F10" s="339"/>
      <c r="G10" s="1140"/>
      <c r="H10" s="1329"/>
      <c r="I10" s="1329"/>
      <c r="J10" s="1329"/>
      <c r="K10" s="1329"/>
      <c r="L10" s="1329"/>
      <c r="M10" s="1142"/>
      <c r="P10" s="374" t="s">
        <v>35</v>
      </c>
      <c r="Q10" s="357">
        <f>VLOOKUP(P8,Activities!$A$10:$Q$152,16,FALSE)</f>
        <v>1.1086505828514972</v>
      </c>
      <c r="R10" s="357">
        <f>VLOOKUP(Q8,Activities!$A$10:$Q$152,16,FALSE)</f>
        <v>1.1303836975020005</v>
      </c>
      <c r="S10" s="376">
        <v>1</v>
      </c>
      <c r="T10" s="375">
        <f>R10+Q10</f>
        <v>2.2390342803534979</v>
      </c>
      <c r="U10" s="235" t="s">
        <v>35</v>
      </c>
      <c r="V10" s="377">
        <f>T10</f>
        <v>2.2390342803534979</v>
      </c>
    </row>
    <row r="11" spans="1:25" ht="15" customHeight="1" x14ac:dyDescent="0.25">
      <c r="A11" s="297">
        <v>5</v>
      </c>
      <c r="B11" s="1330"/>
      <c r="C11" s="1331"/>
      <c r="D11" s="1331"/>
      <c r="E11" s="1332"/>
      <c r="F11" s="339"/>
      <c r="G11" s="1140"/>
      <c r="H11" s="1329"/>
      <c r="I11" s="1329"/>
      <c r="J11" s="1329"/>
      <c r="K11" s="1329"/>
      <c r="L11" s="1329"/>
      <c r="M11" s="1142"/>
      <c r="P11" s="374" t="s">
        <v>36</v>
      </c>
      <c r="Q11" s="375">
        <f>Q10</f>
        <v>1.1086505828514972</v>
      </c>
      <c r="R11" s="375">
        <f>R10*2</f>
        <v>2.260767395004001</v>
      </c>
      <c r="S11" s="376">
        <v>0.8</v>
      </c>
      <c r="T11" s="375">
        <f>Q11+(R11*S11)</f>
        <v>2.9172644988546983</v>
      </c>
      <c r="U11" s="235" t="s">
        <v>36</v>
      </c>
      <c r="V11" s="377">
        <f>T11</f>
        <v>2.9172644988546983</v>
      </c>
    </row>
    <row r="12" spans="1:25" ht="15" customHeight="1" x14ac:dyDescent="0.25">
      <c r="A12" s="305">
        <v>6</v>
      </c>
      <c r="B12" s="1282"/>
      <c r="C12" s="1282"/>
      <c r="D12" s="1282"/>
      <c r="E12" s="1283"/>
      <c r="G12" s="1140"/>
      <c r="H12" s="1329"/>
      <c r="I12" s="1329"/>
      <c r="J12" s="1329"/>
      <c r="K12" s="1329"/>
      <c r="L12" s="1329"/>
      <c r="M12" s="1142"/>
      <c r="P12" s="374" t="s">
        <v>37</v>
      </c>
      <c r="Q12" s="375">
        <f t="shared" ref="Q12:Q13" si="1">Q11</f>
        <v>1.1086505828514972</v>
      </c>
      <c r="R12" s="375">
        <f>R10*4</f>
        <v>4.5215347900080021</v>
      </c>
      <c r="S12" s="376">
        <v>0.7</v>
      </c>
      <c r="T12" s="375">
        <f>Q12+(R12*S12)</f>
        <v>4.2737249358570981</v>
      </c>
      <c r="U12" s="235" t="s">
        <v>37</v>
      </c>
      <c r="V12" s="377">
        <f>T12</f>
        <v>4.2737249358570981</v>
      </c>
    </row>
    <row r="13" spans="1:25" ht="15" customHeight="1" x14ac:dyDescent="0.25">
      <c r="A13" s="340" t="s">
        <v>34</v>
      </c>
      <c r="G13" s="1140"/>
      <c r="H13" s="1329"/>
      <c r="I13" s="1329"/>
      <c r="J13" s="1329"/>
      <c r="K13" s="1329"/>
      <c r="L13" s="1329"/>
      <c r="M13" s="1142"/>
      <c r="P13" s="374" t="s">
        <v>38</v>
      </c>
      <c r="Q13" s="375">
        <f t="shared" si="1"/>
        <v>1.1086505828514972</v>
      </c>
      <c r="R13" s="375">
        <f>R10*8</f>
        <v>9.0430695800160041</v>
      </c>
      <c r="S13" s="376">
        <v>0.6</v>
      </c>
      <c r="T13" s="375">
        <f>Q13+(R13*S13)</f>
        <v>6.5344923308610987</v>
      </c>
      <c r="U13" s="235" t="s">
        <v>244</v>
      </c>
      <c r="V13" s="377">
        <f>T13</f>
        <v>6.5344923308610987</v>
      </c>
    </row>
    <row r="14" spans="1:25" ht="15" customHeight="1" x14ac:dyDescent="0.25">
      <c r="A14" s="1276"/>
      <c r="B14" s="1277"/>
      <c r="C14" s="1278" t="s">
        <v>352</v>
      </c>
      <c r="D14" s="1278"/>
      <c r="E14" s="1279"/>
      <c r="G14" s="1140"/>
      <c r="H14" s="1329"/>
      <c r="I14" s="1329"/>
      <c r="J14" s="1329"/>
      <c r="K14" s="1329"/>
      <c r="L14" s="1329"/>
      <c r="M14" s="1142"/>
      <c r="P14" s="238"/>
      <c r="Q14" s="236"/>
      <c r="R14" s="236"/>
      <c r="S14" s="236"/>
      <c r="T14" s="236"/>
      <c r="U14" s="236" t="s">
        <v>264</v>
      </c>
      <c r="V14" s="237"/>
    </row>
    <row r="15" spans="1:25" ht="15" customHeight="1" x14ac:dyDescent="0.25">
      <c r="A15" s="1201"/>
      <c r="B15" s="1202"/>
      <c r="C15" s="1280" t="s">
        <v>467</v>
      </c>
      <c r="D15" s="1280"/>
      <c r="E15" s="1281"/>
      <c r="G15" s="1140"/>
      <c r="H15" s="1329"/>
      <c r="I15" s="1329"/>
      <c r="J15" s="1329"/>
      <c r="K15" s="1329"/>
      <c r="L15" s="1329"/>
      <c r="M15" s="1142"/>
    </row>
    <row r="16" spans="1:25" ht="18.75" customHeight="1" x14ac:dyDescent="0.3">
      <c r="A16" s="1284" t="s">
        <v>824</v>
      </c>
      <c r="B16" s="1285"/>
      <c r="C16" s="1285"/>
      <c r="D16" s="1285"/>
      <c r="E16" s="1286"/>
      <c r="G16" s="1140"/>
      <c r="H16" s="1329"/>
      <c r="I16" s="1329"/>
      <c r="J16" s="1329"/>
      <c r="K16" s="1329"/>
      <c r="L16" s="1329"/>
      <c r="M16" s="1142"/>
      <c r="P16" s="370" t="str">
        <f>B37</f>
        <v>A1013</v>
      </c>
      <c r="Q16" s="550" t="s">
        <v>19</v>
      </c>
      <c r="R16" s="1273" t="s">
        <v>72</v>
      </c>
      <c r="S16" s="1274"/>
      <c r="T16" s="1274"/>
      <c r="U16" s="1274"/>
      <c r="V16" s="1275"/>
      <c r="W16" s="551"/>
    </row>
    <row r="17" spans="1:22" ht="15" customHeight="1" x14ac:dyDescent="0.25">
      <c r="A17" s="1287"/>
      <c r="B17" s="1288"/>
      <c r="C17" s="1288"/>
      <c r="D17" s="1288"/>
      <c r="E17" s="1289"/>
      <c r="G17" s="1140"/>
      <c r="H17" s="1329"/>
      <c r="I17" s="1329"/>
      <c r="J17" s="1329"/>
      <c r="K17" s="1329"/>
      <c r="L17" s="1329"/>
      <c r="M17" s="1142"/>
      <c r="P17" s="297" t="s">
        <v>61</v>
      </c>
      <c r="Q17" s="371" t="s">
        <v>58</v>
      </c>
      <c r="R17" s="371" t="s">
        <v>59</v>
      </c>
      <c r="S17" s="371" t="s">
        <v>60</v>
      </c>
      <c r="T17" s="371" t="s">
        <v>53</v>
      </c>
      <c r="U17" s="372" t="s">
        <v>61</v>
      </c>
      <c r="V17" s="373" t="s">
        <v>53</v>
      </c>
    </row>
    <row r="18" spans="1:22" ht="15" customHeight="1" x14ac:dyDescent="0.25">
      <c r="A18" s="1287"/>
      <c r="B18" s="1288"/>
      <c r="C18" s="1288"/>
      <c r="D18" s="1288"/>
      <c r="E18" s="1289"/>
      <c r="G18" s="1140"/>
      <c r="H18" s="1329"/>
      <c r="I18" s="1329"/>
      <c r="J18" s="1329"/>
      <c r="K18" s="1329"/>
      <c r="L18" s="1329"/>
      <c r="M18" s="1142"/>
      <c r="P18" s="374" t="s">
        <v>35</v>
      </c>
      <c r="Q18" s="357">
        <f>VLOOKUP(P16,Activities!$A$10:$Q$152,16,FALSE)</f>
        <v>1.4289323610931841</v>
      </c>
      <c r="R18" s="357">
        <f>VLOOKUP(Q16,Activities!$A$10:$Q$152,16,FALSE)</f>
        <v>1.1303836975020005</v>
      </c>
      <c r="S18" s="376">
        <v>1</v>
      </c>
      <c r="T18" s="375">
        <f>R18+Q18</f>
        <v>2.5593160585951846</v>
      </c>
      <c r="U18" s="235" t="s">
        <v>35</v>
      </c>
      <c r="V18" s="377">
        <f>T18</f>
        <v>2.5593160585951846</v>
      </c>
    </row>
    <row r="19" spans="1:22" ht="15" customHeight="1" x14ac:dyDescent="0.25">
      <c r="A19" s="1290"/>
      <c r="B19" s="1291"/>
      <c r="C19" s="1291"/>
      <c r="D19" s="1291"/>
      <c r="E19" s="1292"/>
      <c r="G19" s="1143"/>
      <c r="H19" s="1144"/>
      <c r="I19" s="1144"/>
      <c r="J19" s="1144"/>
      <c r="K19" s="1144"/>
      <c r="L19" s="1144"/>
      <c r="M19" s="1145"/>
      <c r="P19" s="374" t="s">
        <v>36</v>
      </c>
      <c r="Q19" s="375">
        <f>Q18</f>
        <v>1.4289323610931841</v>
      </c>
      <c r="R19" s="375">
        <f>R18*2</f>
        <v>2.260767395004001</v>
      </c>
      <c r="S19" s="376">
        <v>0.8</v>
      </c>
      <c r="T19" s="375">
        <f>Q19+(R19*S19)</f>
        <v>3.237546277096385</v>
      </c>
      <c r="U19" s="235" t="s">
        <v>36</v>
      </c>
      <c r="V19" s="377">
        <f>T19</f>
        <v>3.237546277096385</v>
      </c>
    </row>
    <row r="20" spans="1:22" ht="15" customHeight="1" x14ac:dyDescent="0.25">
      <c r="D20" s="366"/>
      <c r="J20" s="219"/>
      <c r="K20" s="367"/>
      <c r="L20" s="1291"/>
      <c r="M20" s="1292"/>
      <c r="P20" s="374" t="s">
        <v>37</v>
      </c>
      <c r="Q20" s="375">
        <f t="shared" ref="Q20:Q21" si="2">Q19</f>
        <v>1.4289323610931841</v>
      </c>
      <c r="R20" s="375">
        <f>R18*4</f>
        <v>4.5215347900080021</v>
      </c>
      <c r="S20" s="376">
        <v>0.7</v>
      </c>
      <c r="T20" s="375">
        <f>Q20+(R20*S20)</f>
        <v>4.5940067140987857</v>
      </c>
      <c r="U20" s="235" t="s">
        <v>37</v>
      </c>
      <c r="V20" s="377">
        <f>T20</f>
        <v>4.5940067140987857</v>
      </c>
    </row>
    <row r="21" spans="1:22" ht="60.75" customHeight="1" thickBot="1" x14ac:dyDescent="0.3">
      <c r="A21" s="119" t="s">
        <v>39</v>
      </c>
      <c r="B21" s="120" t="s">
        <v>40</v>
      </c>
      <c r="C21" s="120" t="s">
        <v>479</v>
      </c>
      <c r="D21" s="311" t="s">
        <v>272</v>
      </c>
      <c r="E21" s="311" t="s">
        <v>43</v>
      </c>
      <c r="F21" s="120" t="s">
        <v>273</v>
      </c>
      <c r="G21" s="1212" t="s">
        <v>416</v>
      </c>
      <c r="H21" s="1212"/>
      <c r="I21" s="120" t="s">
        <v>45</v>
      </c>
      <c r="J21" s="312" t="s">
        <v>271</v>
      </c>
      <c r="K21" s="120" t="s">
        <v>47</v>
      </c>
      <c r="L21" s="120" t="s">
        <v>270</v>
      </c>
      <c r="M21" s="317" t="s">
        <v>415</v>
      </c>
      <c r="P21" s="374" t="s">
        <v>38</v>
      </c>
      <c r="Q21" s="375">
        <f t="shared" si="2"/>
        <v>1.4289323610931841</v>
      </c>
      <c r="R21" s="375">
        <f>R18*8</f>
        <v>9.0430695800160041</v>
      </c>
      <c r="S21" s="376">
        <v>0.6</v>
      </c>
      <c r="T21" s="375">
        <f>Q21+(R21*S21)</f>
        <v>6.8547741091027863</v>
      </c>
      <c r="U21" s="235" t="s">
        <v>244</v>
      </c>
      <c r="V21" s="377">
        <f>T21</f>
        <v>6.8547741091027863</v>
      </c>
    </row>
    <row r="22" spans="1:22" s="243" customFormat="1" ht="60.75" thickBot="1" x14ac:dyDescent="0.3">
      <c r="A22" s="1293" t="s">
        <v>57</v>
      </c>
      <c r="B22" s="245" t="s">
        <v>8</v>
      </c>
      <c r="C22" s="259" t="str">
        <f>VLOOKUP($B22,Activities!$A$10:$P$152,3,FALSE)</f>
        <v>Design/Quantify/Survey of Tailings Dam to confirm appropriate Cover Specifications</v>
      </c>
      <c r="D22" s="239" t="s">
        <v>49</v>
      </c>
      <c r="E22" s="166"/>
      <c r="F22" s="270" t="s">
        <v>50</v>
      </c>
      <c r="G22" s="313" t="s">
        <v>837</v>
      </c>
      <c r="H22" s="140" t="s">
        <v>613</v>
      </c>
      <c r="I22" s="273">
        <f>VLOOKUP(H22,X2:Y6,2,FALSE)</f>
        <v>0</v>
      </c>
      <c r="J22" s="269"/>
      <c r="K22" s="388">
        <f>IF(D22="Y",IF(J22="",I22*E22,J22*E22),"")</f>
        <v>0</v>
      </c>
      <c r="L22" s="248" t="str">
        <f>IFERROR(IF(D22="Y",K22/$K$55,0%),"0.0%")</f>
        <v>0.0%</v>
      </c>
      <c r="M22" s="290" t="str">
        <f>VLOOKUP($B22,Activities!$A$10:$S$152,19,FALSE)</f>
        <v>The sum covers the design and specification of the cover thickness and the surveying of the storage facility.  It covers the equivalent of approximately 50 to 60 hours of professional surveying, engineering and laboratory work involved when a third party is required to determine the specification of a cover for a tailing storage facility.</v>
      </c>
      <c r="P22" s="378"/>
      <c r="Q22" s="379"/>
      <c r="R22" s="379"/>
      <c r="S22" s="379"/>
      <c r="T22" s="379"/>
      <c r="U22" s="236" t="s">
        <v>264</v>
      </c>
      <c r="V22" s="380"/>
    </row>
    <row r="23" spans="1:22" s="243" customFormat="1" ht="84.75" thickBot="1" x14ac:dyDescent="0.3">
      <c r="A23" s="1336"/>
      <c r="B23" s="258" t="s">
        <v>241</v>
      </c>
      <c r="C23" s="259" t="str">
        <f>VLOOKUP($B23,Activities!$A$10:$P$152,3,FALSE)</f>
        <v>Characteristics of soil and groundwater contamination (Environmental site assessment)</v>
      </c>
      <c r="D23" s="239" t="s">
        <v>49</v>
      </c>
      <c r="E23" s="240"/>
      <c r="F23" s="246" t="str">
        <f>VLOOKUP($B23,Activities!$A$10:$P$152,4,FALSE)</f>
        <v>Ha</v>
      </c>
      <c r="G23" s="1269"/>
      <c r="H23" s="1270"/>
      <c r="I23" s="273">
        <f>VLOOKUP($B23,Activities!$A$10:$S$152,16,FALSE)</f>
        <v>32524.962920035628</v>
      </c>
      <c r="J23" s="269"/>
      <c r="K23" s="388">
        <f t="shared" ref="K23:K26" si="3">IF(D23="Y",IF(J23="",I23*E23,J23*E23),0)</f>
        <v>0</v>
      </c>
      <c r="L23" s="248" t="str">
        <f t="shared" ref="L23:L26" si="4">IFERROR(IF(D23="Y",K23/$K$59,0%),"0.0%")</f>
        <v>0.0%</v>
      </c>
      <c r="M23" s="290" t="str">
        <f>VLOOKUP($B23,Activities!$A$10:$S$152,19,FALSE)</f>
        <v>Assumes soil sampling at 10 locations and development of up to four groundwater wells and one groundwater monitoring event (GME) per hectare.  Chemical analysis of one soild sample per location and one groundwater sample per well for a standard suite of chemicals (eg heavy metals, selected organics) of potential interest.  Soil sites advance to a maximum of 1 metre below ground level and wells to a maximum depth of 12 metres below ground level.</v>
      </c>
      <c r="P23" s="283"/>
      <c r="Q23" s="283"/>
      <c r="R23" s="283"/>
      <c r="S23" s="283"/>
      <c r="T23" s="283"/>
      <c r="U23" s="234"/>
      <c r="V23" s="283"/>
    </row>
    <row r="24" spans="1:22" s="243" customFormat="1" ht="72.75" thickBot="1" x14ac:dyDescent="0.3">
      <c r="A24" s="1336"/>
      <c r="B24" s="245" t="s">
        <v>233</v>
      </c>
      <c r="C24" s="259" t="str">
        <f>VLOOKUP($B24,Activities!$A$10:$P$152,3,FALSE)</f>
        <v>Demolish and Removal of Pipework - Plastic (Borefields, tailing facilities, etc)</v>
      </c>
      <c r="D24" s="239" t="s">
        <v>49</v>
      </c>
      <c r="E24" s="240"/>
      <c r="F24" s="246" t="str">
        <f>VLOOKUP($B24,Activities!$A$10:$P$152,4,FALSE)</f>
        <v>m</v>
      </c>
      <c r="G24" s="1269"/>
      <c r="H24" s="1270"/>
      <c r="I24" s="272">
        <f>VLOOKUP($B24,Activities!$A$10:$S$152,16,FALSE)</f>
        <v>13.119651535666517</v>
      </c>
      <c r="J24" s="269"/>
      <c r="K24" s="388">
        <f t="shared" si="3"/>
        <v>0</v>
      </c>
      <c r="L24" s="248" t="str">
        <f t="shared" si="4"/>
        <v>0.0%</v>
      </c>
      <c r="M24" s="290" t="str">
        <f>VLOOKUP($B24,Activities!$A$10:$S$152,19,FALSE)</f>
        <v>The activity consists of removing all pipework within the area and disposing of this pipework in an approved dump on the site.  The pipework should be cut up or shredded.  The activity assumes that the pipe is &lt;200mm and is plastic in nature.  If the pipe is very large or steel a separate demolition price should be prepared.  It does not inlcude pipework within a process plant.</v>
      </c>
    </row>
    <row r="25" spans="1:22" s="243" customFormat="1" ht="80.25" customHeight="1" thickBot="1" x14ac:dyDescent="0.3">
      <c r="A25" s="1336"/>
      <c r="B25" s="245" t="s">
        <v>434</v>
      </c>
      <c r="C25" s="259" t="str">
        <f>VLOOKUP($B25,Activities!$A$10:$P$152,3,FALSE)</f>
        <v>Removal and Disposal of Major Trunk Pipelines</v>
      </c>
      <c r="D25" s="239" t="s">
        <v>49</v>
      </c>
      <c r="E25" s="240"/>
      <c r="F25" s="246" t="str">
        <f>VLOOKUP($B25,Activities!$A$10:$P$152,4,FALSE)</f>
        <v>m</v>
      </c>
      <c r="G25" s="1269"/>
      <c r="H25" s="1270"/>
      <c r="I25" s="272">
        <f>VLOOKUP($B25,Activities!$A$10:$S$152,16,FALSE)</f>
        <v>32.467068764228138</v>
      </c>
      <c r="J25" s="269"/>
      <c r="K25" s="388">
        <f t="shared" si="3"/>
        <v>0</v>
      </c>
      <c r="L25" s="248" t="str">
        <f t="shared" si="4"/>
        <v>0.0%</v>
      </c>
      <c r="M25" s="290" t="str">
        <f>VLOOKUP($B25,Activities!$A$10:$S$152,19,FALSE)</f>
        <v>The activity relates specifically to the removal and disposal of trunk pipelines assumed to be plastic in nature but greater than 200 mm in diameter.   The pipework should be cut up or shredded.   If the pipe is very large or steel a separate demolition price should be prepared.  It does not inlcude pipework within a process plant.</v>
      </c>
    </row>
    <row r="26" spans="1:22" s="243" customFormat="1" ht="49.5" customHeight="1" thickBot="1" x14ac:dyDescent="0.3">
      <c r="A26" s="1294"/>
      <c r="B26" s="245" t="s">
        <v>10</v>
      </c>
      <c r="C26" s="259" t="str">
        <f>VLOOKUP($B26,Activities!$A$10:$P$152,3,FALSE)</f>
        <v>Pump Station - Above Ground on concrete slab - Demolish and remove</v>
      </c>
      <c r="D26" s="239" t="s">
        <v>49</v>
      </c>
      <c r="E26" s="240"/>
      <c r="F26" s="246" t="str">
        <f>VLOOKUP($B26,Activities!$A$10:$P$152,4,FALSE)</f>
        <v>Item</v>
      </c>
      <c r="G26" s="1269"/>
      <c r="H26" s="1270"/>
      <c r="I26" s="273">
        <f>VLOOKUP($B26,Activities!$A$10:$S$152,16,FALSE)</f>
        <v>1613.7887890157565</v>
      </c>
      <c r="J26" s="269"/>
      <c r="K26" s="388">
        <f t="shared" si="3"/>
        <v>0</v>
      </c>
      <c r="L26" s="248" t="str">
        <f t="shared" si="4"/>
        <v>0.0%</v>
      </c>
      <c r="M26" s="290" t="str">
        <f>VLOOKUP($B26,Activities!$A$10:$S$152,19,FALSE)</f>
        <v xml:space="preserve">The sum covers the demolition and removal of a pumping station and associated equipment </v>
      </c>
    </row>
    <row r="27" spans="1:22" s="243" customFormat="1" ht="15.75" thickBot="1" x14ac:dyDescent="0.3">
      <c r="A27" s="293" t="s">
        <v>53</v>
      </c>
      <c r="B27" s="345" t="str">
        <f>A22</f>
        <v xml:space="preserve">Preliminaries </v>
      </c>
      <c r="C27" s="251"/>
      <c r="D27" s="252"/>
      <c r="E27" s="253"/>
      <c r="F27" s="252"/>
      <c r="G27" s="252"/>
      <c r="H27" s="252"/>
      <c r="I27" s="254"/>
      <c r="J27" s="255"/>
      <c r="K27" s="256">
        <f>SUM(K22:K26)</f>
        <v>0</v>
      </c>
      <c r="L27" s="252"/>
      <c r="M27" s="257"/>
    </row>
    <row r="28" spans="1:22" s="243" customFormat="1" ht="49.5" customHeight="1" thickBot="1" x14ac:dyDescent="0.3">
      <c r="A28" s="1337" t="s">
        <v>66</v>
      </c>
      <c r="B28" s="270"/>
      <c r="C28" s="304" t="s">
        <v>67</v>
      </c>
      <c r="D28" s="239" t="s">
        <v>49</v>
      </c>
      <c r="E28" s="346"/>
      <c r="F28" s="296"/>
      <c r="G28" s="1269"/>
      <c r="H28" s="1270"/>
      <c r="I28" s="355" t="s">
        <v>475</v>
      </c>
      <c r="J28" s="269"/>
      <c r="K28" s="387">
        <f>IF(D28="Y",J28*E28,"")</f>
        <v>0</v>
      </c>
      <c r="L28" s="248" t="str">
        <f>IFERROR(IF(D28="Y",K28/$K$55,0%),"0.0%")</f>
        <v>0.0%</v>
      </c>
      <c r="M28" s="139" t="s">
        <v>577</v>
      </c>
    </row>
    <row r="29" spans="1:22" s="243" customFormat="1" ht="49.5" customHeight="1" thickBot="1" x14ac:dyDescent="0.3">
      <c r="A29" s="1338"/>
      <c r="B29" s="270"/>
      <c r="C29" s="304" t="s">
        <v>67</v>
      </c>
      <c r="D29" s="239" t="s">
        <v>49</v>
      </c>
      <c r="E29" s="346"/>
      <c r="F29" s="296"/>
      <c r="G29" s="1269"/>
      <c r="H29" s="1270"/>
      <c r="I29" s="355" t="s">
        <v>475</v>
      </c>
      <c r="J29" s="269"/>
      <c r="K29" s="387">
        <f>IF(D29="Y",J29*E29,"")</f>
        <v>0</v>
      </c>
      <c r="L29" s="248" t="str">
        <f>IFERROR(IF(D29="Y",K29/$K$55,0%),"0.0%")</f>
        <v>0.0%</v>
      </c>
      <c r="M29" s="139" t="s">
        <v>577</v>
      </c>
    </row>
    <row r="30" spans="1:22" s="243" customFormat="1" ht="15.75" thickBot="1" x14ac:dyDescent="0.3">
      <c r="A30" s="291" t="s">
        <v>53</v>
      </c>
      <c r="B30" s="345" t="str">
        <f>A28</f>
        <v xml:space="preserve">Special Treatments </v>
      </c>
      <c r="C30" s="251"/>
      <c r="D30" s="252"/>
      <c r="E30" s="253"/>
      <c r="F30" s="252"/>
      <c r="G30" s="252"/>
      <c r="H30" s="252"/>
      <c r="I30" s="254"/>
      <c r="J30" s="255"/>
      <c r="K30" s="256">
        <f>SUM(K28:K29)</f>
        <v>0</v>
      </c>
      <c r="L30" s="252"/>
      <c r="M30" s="257"/>
    </row>
    <row r="31" spans="1:22" s="243" customFormat="1" ht="64.5" customHeight="1" thickBot="1" x14ac:dyDescent="0.3">
      <c r="A31" s="1333" t="s">
        <v>578</v>
      </c>
      <c r="B31" s="245" t="s">
        <v>13</v>
      </c>
      <c r="C31" s="259" t="str">
        <f>VLOOKUP($B31,Activities!$A$10:$P$152,3,FALSE)</f>
        <v>Major Bulk Pushing/Dozing to achieve Final Land Forms</v>
      </c>
      <c r="D31" s="239" t="s">
        <v>49</v>
      </c>
      <c r="E31" s="240"/>
      <c r="F31" s="246" t="str">
        <f>VLOOKUP($B31,Activities!$A$10:$P$152,4,FALSE)</f>
        <v>m3</v>
      </c>
      <c r="G31" s="1269"/>
      <c r="H31" s="1270"/>
      <c r="I31" s="272">
        <f>VLOOKUP($B31,Activities!$A$10:$S$152,16,FALSE)</f>
        <v>0.96390609627070267</v>
      </c>
      <c r="J31" s="269"/>
      <c r="K31" s="388">
        <f t="shared" ref="K31:K32" si="5">IF(D31="Y",IF(J31="",I31*E31,J31*E31),0)</f>
        <v>0</v>
      </c>
      <c r="L31" s="248" t="str">
        <f t="shared" ref="L31:L32" si="6">IFERROR(IF(D31="Y",K31/$K$59,0%),"0.0%")</f>
        <v>0.0%</v>
      </c>
      <c r="M31" s="290" t="str">
        <f>VLOOKUP($B31,Activities!$A$10:$S$152,19,FALSE)</f>
        <v>This unit cost covers the use of a dozer to push material within reasonable confines to achieve a Final Land Form.  It is often undertaken prior to covering a tailing storage facility</v>
      </c>
      <c r="P31" s="233"/>
      <c r="Q31" s="233"/>
      <c r="R31" s="233"/>
      <c r="S31" s="233"/>
      <c r="T31" s="233"/>
      <c r="U31" s="233"/>
      <c r="V31" s="233"/>
    </row>
    <row r="32" spans="1:22" s="243" customFormat="1" ht="48.75" thickBot="1" x14ac:dyDescent="0.3">
      <c r="A32" s="1334"/>
      <c r="B32" s="258" t="s">
        <v>79</v>
      </c>
      <c r="C32" s="259" t="str">
        <f>VLOOKUP($B32,Activities!$A$10:$P$152,3,FALSE)</f>
        <v>Minor Shaping across a Dump or Disturbed Area</v>
      </c>
      <c r="D32" s="239" t="s">
        <v>49</v>
      </c>
      <c r="E32" s="240"/>
      <c r="F32" s="246" t="str">
        <f>VLOOKUP($B32,Activities!$A$10:$P$152,4,FALSE)</f>
        <v>Ha</v>
      </c>
      <c r="G32" s="1269"/>
      <c r="H32" s="1270"/>
      <c r="I32" s="273">
        <f>VLOOKUP($B32,Activities!$A$10:$S$152,16,FALSE)</f>
        <v>2987.2221197728068</v>
      </c>
      <c r="J32" s="269"/>
      <c r="K32" s="388">
        <f t="shared" si="5"/>
        <v>0</v>
      </c>
      <c r="L32" s="248" t="str">
        <f t="shared" si="6"/>
        <v>0.0%</v>
      </c>
      <c r="M32" s="290" t="str">
        <f>VLOOKUP($B32,Activities!$A$10:$S$152,19,FALSE)</f>
        <v xml:space="preserve">This activity covers minor shaping shifting pushing across a dump or disturbed area.  It is based on a rate per hectare.  It covers area where there needs to be some clearing work, tidying up of disturbed ground,  but not just bulk pushing </v>
      </c>
      <c r="P32" s="233"/>
      <c r="Q32" s="233"/>
      <c r="R32" s="233"/>
      <c r="S32" s="233"/>
      <c r="T32" s="233"/>
      <c r="U32" s="233"/>
      <c r="V32" s="233"/>
    </row>
    <row r="33" spans="1:13" ht="70.5" customHeight="1" thickBot="1" x14ac:dyDescent="0.3">
      <c r="A33" s="1334"/>
      <c r="B33" s="245" t="s">
        <v>16</v>
      </c>
      <c r="C33" s="259" t="str">
        <f>VLOOKUP($B33,Activities!$A$10:$P$152,3,FALSE)</f>
        <v>Load and haul of mined, processed, stockpiled materials or topsoil</v>
      </c>
      <c r="D33" s="239" t="s">
        <v>49</v>
      </c>
      <c r="E33" s="240"/>
      <c r="F33" s="246" t="str">
        <f>VLOOKUP($B33,Activities!$A$10:$P$152,4,FALSE)</f>
        <v>m3</v>
      </c>
      <c r="G33" s="313" t="s">
        <v>51</v>
      </c>
      <c r="H33" s="167" t="s">
        <v>264</v>
      </c>
      <c r="I33" s="272">
        <f>VLOOKUP(H33,U3:V7,2)</f>
        <v>0</v>
      </c>
      <c r="J33" s="269"/>
      <c r="K33" s="388">
        <f>IF(D33="Y",IF(J33="",I33*E33,J33*E33),"")</f>
        <v>0</v>
      </c>
      <c r="L33" s="248" t="str">
        <f>IFERROR(IF(D33="Y",K33/$K$55,0%),"0.0%")</f>
        <v>0.0%</v>
      </c>
      <c r="M33" s="290" t="str">
        <f>VLOOKUP($B33,Activities!$A$10:$S$152,19,FALSE)</f>
        <v>This activity involves loading into a truck of material previously mined, processed material or topsoil, and hauling a selected distance.</v>
      </c>
    </row>
    <row r="34" spans="1:13" ht="42.75" thickBot="1" x14ac:dyDescent="0.3">
      <c r="A34" s="1334"/>
      <c r="B34" s="245" t="s">
        <v>17</v>
      </c>
      <c r="C34" s="259" t="str">
        <f>VLOOKUP($B34,Activities!$A$10:$P$152,3,FALSE)</f>
        <v xml:space="preserve">Excavation of earthen materials from local borrow pits, plus haulage </v>
      </c>
      <c r="D34" s="239" t="s">
        <v>49</v>
      </c>
      <c r="E34" s="240"/>
      <c r="F34" s="246" t="str">
        <f>VLOOKUP($B34,Activities!$A$10:$P$152,4,FALSE)</f>
        <v>m3</v>
      </c>
      <c r="G34" s="313" t="s">
        <v>51</v>
      </c>
      <c r="H34" s="167" t="s">
        <v>264</v>
      </c>
      <c r="I34" s="272">
        <f>VLOOKUP(H34,U10:V14,2)</f>
        <v>0</v>
      </c>
      <c r="J34" s="269"/>
      <c r="K34" s="388">
        <f>IF(D34="Y",IF(J34="",I34*E34,J34*E34),"")</f>
        <v>0</v>
      </c>
      <c r="L34" s="248" t="str">
        <f>IFERROR(IF(D34="Y",K34/$K$55,0%),"0.0%")</f>
        <v>0.0%</v>
      </c>
      <c r="M34" s="290" t="str">
        <f>VLOOKUP($B34,Activities!$A$10:$S$152,19,FALSE)</f>
        <v>This activity involves the excavation of earthern material from a local borrow pit and the loading of that material into a truck.  Haulage cost based on distance hauled.</v>
      </c>
    </row>
    <row r="35" spans="1:13" ht="53.25" customHeight="1" thickBot="1" x14ac:dyDescent="0.3">
      <c r="A35" s="1334"/>
      <c r="B35" s="245" t="s">
        <v>18</v>
      </c>
      <c r="C35" s="259" t="str">
        <f>VLOOKUP($B35,Activities!$A$10:$P$152,3,FALSE)</f>
        <v>Spreading Materials on ground or an open area excluding compaction (&gt;1,000m3)</v>
      </c>
      <c r="D35" s="239" t="s">
        <v>49</v>
      </c>
      <c r="E35" s="240"/>
      <c r="F35" s="246" t="str">
        <f>VLOOKUP($B35,Activities!$A$10:$P$152,4,FALSE)</f>
        <v>m3</v>
      </c>
      <c r="G35" s="1269"/>
      <c r="H35" s="1270"/>
      <c r="I35" s="272">
        <f>VLOOKUP($B35,Activities!$A$10:$S$152,16,FALSE)</f>
        <v>1.0890037105820705</v>
      </c>
      <c r="J35" s="269"/>
      <c r="K35" s="388">
        <f t="shared" ref="K35" si="7">IF(D35="Y",IF(J35="",I35*E35,J35*E35),0)</f>
        <v>0</v>
      </c>
      <c r="L35" s="248" t="str">
        <f t="shared" ref="L35" si="8">IFERROR(IF(D35="Y",K35/$K$59,0%),"0.0%")</f>
        <v>0.0%</v>
      </c>
      <c r="M35" s="290" t="str">
        <f>VLOOKUP($B35,Activities!$A$10:$S$152,19,FALSE)</f>
        <v xml:space="preserve">This activity involves the spreading of material that has been transported and dumped at the work area. </v>
      </c>
    </row>
    <row r="36" spans="1:13" ht="15.75" thickBot="1" x14ac:dyDescent="0.3">
      <c r="A36" s="293" t="s">
        <v>53</v>
      </c>
      <c r="B36" s="345" t="str">
        <f>A31</f>
        <v>Primary Earthworks and Construction of the Cover for the Tailing Facility</v>
      </c>
      <c r="C36" s="251"/>
      <c r="D36" s="252"/>
      <c r="E36" s="253"/>
      <c r="F36" s="252"/>
      <c r="G36" s="252"/>
      <c r="H36" s="252"/>
      <c r="I36" s="254"/>
      <c r="J36" s="255"/>
      <c r="K36" s="256">
        <f>SUM(K31:K35)</f>
        <v>0</v>
      </c>
      <c r="L36" s="252"/>
      <c r="M36" s="257"/>
    </row>
    <row r="37" spans="1:13" ht="42.75" thickBot="1" x14ac:dyDescent="0.3">
      <c r="A37" s="1333" t="s">
        <v>69</v>
      </c>
      <c r="B37" s="245" t="s">
        <v>70</v>
      </c>
      <c r="C37" s="259" t="str">
        <f>VLOOKUP($B37,Activities!$A$10:$P$152,3,FALSE)</f>
        <v>Sourcing, Carting and Spreading of Topsoil over an Area</v>
      </c>
      <c r="D37" s="239" t="s">
        <v>49</v>
      </c>
      <c r="E37" s="240"/>
      <c r="F37" s="246" t="str">
        <f>VLOOKUP($B37,Activities!$A$10:$P$152,4,FALSE)</f>
        <v>m3</v>
      </c>
      <c r="G37" s="315"/>
      <c r="H37" s="167" t="s">
        <v>264</v>
      </c>
      <c r="I37" s="272">
        <f>VLOOKUP(H37,U18:V22,2)</f>
        <v>0</v>
      </c>
      <c r="J37" s="269"/>
      <c r="K37" s="388">
        <f>IF(D37="Y",IF(J37="",I37*E37,J37*E37),"")</f>
        <v>0</v>
      </c>
      <c r="L37" s="248" t="str">
        <f>IFERROR(IF(D37="Y",K37/$K$55,0%),"0.0%")</f>
        <v>0.0%</v>
      </c>
      <c r="M37" s="290" t="str">
        <f>VLOOKUP($B37,Activities!$A$10:$S$152,19,FALSE)</f>
        <v>This activity covers the sourcing of topsoil or suitable growth medium, transporting from the source to the required area and then spreading it over that area.</v>
      </c>
    </row>
    <row r="38" spans="1:13" ht="46.5" customHeight="1" thickBot="1" x14ac:dyDescent="0.3">
      <c r="A38" s="1334"/>
      <c r="B38" s="245" t="s">
        <v>21</v>
      </c>
      <c r="C38" s="259" t="str">
        <f>VLOOKUP($B38,Activities!$A$10:$P$152,3,FALSE)</f>
        <v>Scarification to promote vegetation growth</v>
      </c>
      <c r="D38" s="239" t="s">
        <v>49</v>
      </c>
      <c r="E38" s="240"/>
      <c r="F38" s="246" t="str">
        <f>VLOOKUP($B38,Activities!$A$10:$P$152,4,FALSE)</f>
        <v>Ha</v>
      </c>
      <c r="G38" s="1269"/>
      <c r="H38" s="1270"/>
      <c r="I38" s="273">
        <f>VLOOKUP($B38,Activities!$A$10:$S$152,16,FALSE)</f>
        <v>323.54530924221694</v>
      </c>
      <c r="J38" s="269"/>
      <c r="K38" s="388">
        <f t="shared" ref="K38:K48" si="9">IF(D38="Y",IF(J38="",I38*E38,J38*E38),0)</f>
        <v>0</v>
      </c>
      <c r="L38" s="248" t="str">
        <f t="shared" ref="L38:L48" si="10">IFERROR(IF(D38="Y",K38/$K$59,0%),"0.0%")</f>
        <v>0.0%</v>
      </c>
      <c r="M38" s="290" t="str">
        <f>VLOOKUP($B38,Activities!$A$10:$S$152,19,FALSE)</f>
        <v xml:space="preserve">This activity is undertaken in preparation for the seeding of a particular area.  </v>
      </c>
    </row>
    <row r="39" spans="1:13" ht="46.5" customHeight="1" thickBot="1" x14ac:dyDescent="0.3">
      <c r="A39" s="1334"/>
      <c r="B39" s="245" t="s">
        <v>626</v>
      </c>
      <c r="C39" s="259" t="str">
        <f>VLOOKUP($B39,Activities!$A$10:$P$152,3,FALSE)</f>
        <v>Purchase and single application of ground ameliorants (e.g. gypsum)</v>
      </c>
      <c r="D39" s="239" t="s">
        <v>49</v>
      </c>
      <c r="E39" s="240"/>
      <c r="F39" s="246" t="str">
        <f>VLOOKUP($B39,Activities!$A$10:$P$152,4,FALSE)</f>
        <v>Ha</v>
      </c>
      <c r="G39" s="1269"/>
      <c r="H39" s="1270"/>
      <c r="I39" s="273">
        <f>VLOOKUP($B39,Activities!$A$10:$S$152,16,FALSE)</f>
        <v>877.38983538153695</v>
      </c>
      <c r="J39" s="269"/>
      <c r="K39" s="388">
        <f t="shared" si="9"/>
        <v>0</v>
      </c>
      <c r="L39" s="248" t="str">
        <f t="shared" si="10"/>
        <v>0.0%</v>
      </c>
      <c r="M39" s="290" t="str">
        <f>VLOOKUP($B39,Activities!$A$10:$S$152,19,FALSE)</f>
        <v>This Activity includes the purchase and single application of ground ameliorants (e.g. gypsum).</v>
      </c>
    </row>
    <row r="40" spans="1:13" ht="46.5" customHeight="1" thickBot="1" x14ac:dyDescent="0.3">
      <c r="A40" s="1334"/>
      <c r="B40" s="245" t="s">
        <v>627</v>
      </c>
      <c r="C40" s="259" t="str">
        <f>VLOOKUP($B40,Activities!$A$10:$P$152,3,FALSE)</f>
        <v>The purchase only of non-native pasture grasses</v>
      </c>
      <c r="D40" s="239" t="s">
        <v>49</v>
      </c>
      <c r="E40" s="240"/>
      <c r="F40" s="246" t="str">
        <f>VLOOKUP($B40,Activities!$A$10:$P$152,4,FALSE)</f>
        <v>Ha</v>
      </c>
      <c r="G40" s="1269"/>
      <c r="H40" s="1270"/>
      <c r="I40" s="273">
        <f>VLOOKUP($B40,Activities!$A$10:$S$152,16,FALSE)</f>
        <v>1774.5180283018869</v>
      </c>
      <c r="J40" s="269"/>
      <c r="K40" s="388">
        <f t="shared" si="9"/>
        <v>0</v>
      </c>
      <c r="L40" s="248" t="str">
        <f t="shared" si="10"/>
        <v>0.0%</v>
      </c>
      <c r="M40" s="290" t="str">
        <f>VLOOKUP($B40,Activities!$A$10:$S$152,19,FALSE)</f>
        <v>This activity covers the purchase of non-native pasture grasses</v>
      </c>
    </row>
    <row r="41" spans="1:13" ht="46.5" customHeight="1" thickBot="1" x14ac:dyDescent="0.3">
      <c r="A41" s="1334"/>
      <c r="B41" s="245" t="s">
        <v>628</v>
      </c>
      <c r="C41" s="259" t="str">
        <f>VLOOKUP($B41,Activities!$A$10:$P$152,3,FALSE)</f>
        <v>The purchase only of general native seed mix</v>
      </c>
      <c r="D41" s="239" t="s">
        <v>49</v>
      </c>
      <c r="E41" s="240"/>
      <c r="F41" s="246" t="str">
        <f>VLOOKUP($B41,Activities!$A$10:$P$152,4,FALSE)</f>
        <v>Ha</v>
      </c>
      <c r="G41" s="1269"/>
      <c r="H41" s="1270"/>
      <c r="I41" s="273">
        <f>VLOOKUP($B41,Activities!$A$10:$S$152,16,FALSE)</f>
        <v>3439.8717452830197</v>
      </c>
      <c r="J41" s="269"/>
      <c r="K41" s="388">
        <f t="shared" si="9"/>
        <v>0</v>
      </c>
      <c r="L41" s="248" t="str">
        <f t="shared" si="10"/>
        <v>0.0%</v>
      </c>
      <c r="M41" s="290" t="str">
        <f>VLOOKUP($B41,Activities!$A$10:$S$152,19,FALSE)</f>
        <v>This activity covers the purchase of general native seed mix</v>
      </c>
    </row>
    <row r="42" spans="1:13" ht="46.5" customHeight="1" thickBot="1" x14ac:dyDescent="0.3">
      <c r="A42" s="1334"/>
      <c r="B42" s="245" t="s">
        <v>629</v>
      </c>
      <c r="C42" s="259" t="str">
        <f>VLOOKUP($B42,Activities!$A$10:$P$152,3,FALSE)</f>
        <v>The purchase only of local provenance native seed mix</v>
      </c>
      <c r="D42" s="239" t="s">
        <v>49</v>
      </c>
      <c r="E42" s="240"/>
      <c r="F42" s="246" t="str">
        <f>VLOOKUP($B42,Activities!$A$10:$P$152,4,FALSE)</f>
        <v>Ha</v>
      </c>
      <c r="G42" s="1269"/>
      <c r="H42" s="1270"/>
      <c r="I42" s="273">
        <f>VLOOKUP($B42,Activities!$A$10:$S$152,16,FALSE)</f>
        <v>10525.680933962265</v>
      </c>
      <c r="J42" s="269"/>
      <c r="K42" s="388">
        <f t="shared" si="9"/>
        <v>0</v>
      </c>
      <c r="L42" s="248" t="str">
        <f t="shared" si="10"/>
        <v>0.0%</v>
      </c>
      <c r="M42" s="290" t="str">
        <f>VLOOKUP($B42,Activities!$A$10:$S$152,19,FALSE)</f>
        <v>This activity covers the purchase of local provenance native seed mix</v>
      </c>
    </row>
    <row r="43" spans="1:13" ht="46.5" customHeight="1" thickBot="1" x14ac:dyDescent="0.3">
      <c r="A43" s="1334"/>
      <c r="B43" s="245" t="s">
        <v>630</v>
      </c>
      <c r="C43" s="259" t="str">
        <f>VLOOKUP($B43,Activities!$A$10:$P$152,3,FALSE)</f>
        <v>The purchase only of fertiliser for broadcast application</v>
      </c>
      <c r="D43" s="239" t="s">
        <v>49</v>
      </c>
      <c r="E43" s="240"/>
      <c r="F43" s="246" t="str">
        <f>VLOOKUP($B43,Activities!$A$10:$P$152,4,FALSE)</f>
        <v>Ha</v>
      </c>
      <c r="G43" s="1269"/>
      <c r="H43" s="1270"/>
      <c r="I43" s="273">
        <f>VLOOKUP($B43,Activities!$A$10:$S$152,16,FALSE)</f>
        <v>613.30500000000006</v>
      </c>
      <c r="J43" s="269"/>
      <c r="K43" s="388">
        <f t="shared" si="9"/>
        <v>0</v>
      </c>
      <c r="L43" s="248" t="str">
        <f t="shared" si="10"/>
        <v>0.0%</v>
      </c>
      <c r="M43" s="290" t="str">
        <f>VLOOKUP($B43,Activities!$A$10:$S$152,19,FALSE)</f>
        <v>This activity covers the purchase of local fertiliser for broadcast application.  It does not inlcude the application.</v>
      </c>
    </row>
    <row r="44" spans="1:13" ht="46.5" customHeight="1" thickBot="1" x14ac:dyDescent="0.3">
      <c r="A44" s="1334"/>
      <c r="B44" s="245" t="s">
        <v>631</v>
      </c>
      <c r="C44" s="259" t="str">
        <f>VLOOKUP($B44,Activities!$A$10:$P$152,3,FALSE)</f>
        <v>The purchase of native tubestock (including slow release fertiliser)</v>
      </c>
      <c r="D44" s="239" t="s">
        <v>49</v>
      </c>
      <c r="E44" s="240"/>
      <c r="F44" s="246" t="str">
        <f>VLOOKUP($B44,Activities!$A$10:$P$152,4,FALSE)</f>
        <v>Ha</v>
      </c>
      <c r="G44" s="1269"/>
      <c r="H44" s="1270"/>
      <c r="I44" s="273">
        <f>VLOOKUP($B44,Activities!$A$10:$S$152,16,FALSE)</f>
        <v>19729.952830188682</v>
      </c>
      <c r="J44" s="269"/>
      <c r="K44" s="388">
        <f t="shared" si="9"/>
        <v>0</v>
      </c>
      <c r="L44" s="248" t="str">
        <f t="shared" si="10"/>
        <v>0.0%</v>
      </c>
      <c r="M44" s="290" t="str">
        <f>VLOOKUP($B44,Activities!$A$10:$S$152,19,FALSE)</f>
        <v>The Activity includes the purchase of native tubestock (including slow release fertiliser).  It does not include planting.</v>
      </c>
    </row>
    <row r="45" spans="1:13" ht="46.5" customHeight="1" thickBot="1" x14ac:dyDescent="0.3">
      <c r="A45" s="1334"/>
      <c r="B45" s="245" t="s">
        <v>632</v>
      </c>
      <c r="C45" s="259" t="str">
        <f>VLOOKUP($B45,Activities!$A$10:$P$152,3,FALSE)</f>
        <v>Direct seeding along rip line or mechanical broadcast seeding</v>
      </c>
      <c r="D45" s="239" t="s">
        <v>49</v>
      </c>
      <c r="E45" s="240"/>
      <c r="F45" s="246" t="str">
        <f>VLOOKUP($B45,Activities!$A$10:$P$152,4,FALSE)</f>
        <v>Ha</v>
      </c>
      <c r="G45" s="1269"/>
      <c r="H45" s="1270"/>
      <c r="I45" s="273">
        <f>VLOOKUP($B45,Activities!$A$10:$S$152,16,FALSE)</f>
        <v>2100.7838269402318</v>
      </c>
      <c r="J45" s="269"/>
      <c r="K45" s="388">
        <f t="shared" si="9"/>
        <v>0</v>
      </c>
      <c r="L45" s="248" t="str">
        <f t="shared" si="10"/>
        <v>0.0%</v>
      </c>
      <c r="M45" s="290" t="str">
        <f>VLOOKUP($B45,Activities!$A$10:$S$152,19,FALSE)</f>
        <v>Sowing of separately purchased seed and or fertiliser for broadcast application that involves scattering seed, by hand or mechanically, over a relatively large area.</v>
      </c>
    </row>
    <row r="46" spans="1:13" ht="46.5" customHeight="1" thickBot="1" x14ac:dyDescent="0.3">
      <c r="A46" s="1334"/>
      <c r="B46" s="245" t="s">
        <v>633</v>
      </c>
      <c r="C46" s="259" t="str">
        <f>VLOOKUP($B46,Activities!$A$10:$P$152,3,FALSE)</f>
        <v>Hydromulching (does not include seed or fertiliser)</v>
      </c>
      <c r="D46" s="239" t="s">
        <v>49</v>
      </c>
      <c r="E46" s="240"/>
      <c r="F46" s="246" t="str">
        <f>VLOOKUP($B46,Activities!$A$10:$P$152,4,FALSE)</f>
        <v>Ha</v>
      </c>
      <c r="G46" s="1269"/>
      <c r="H46" s="1270"/>
      <c r="I46" s="273">
        <f>VLOOKUP($B46,Activities!$A$10:$S$152,16,FALSE)</f>
        <v>1583.2664818030244</v>
      </c>
      <c r="J46" s="269"/>
      <c r="K46" s="388">
        <f t="shared" si="9"/>
        <v>0</v>
      </c>
      <c r="L46" s="248" t="str">
        <f t="shared" si="10"/>
        <v>0.0%</v>
      </c>
      <c r="M46" s="290" t="str">
        <f>VLOOKUP($B46,Activities!$A$10:$S$152,19,FALSE)</f>
        <v>Hydromulching planting process that uses a slurry of seed and mulch. It is often used as an erosion control technique as an alternative to the traditional process of broadcasting or sowing dry seed.</v>
      </c>
    </row>
    <row r="47" spans="1:13" ht="46.5" customHeight="1" thickBot="1" x14ac:dyDescent="0.3">
      <c r="A47" s="1334"/>
      <c r="B47" s="245" t="s">
        <v>717</v>
      </c>
      <c r="C47" s="259" t="str">
        <f>VLOOKUP($B47,Activities!$A$10:$P$152,3,FALSE)</f>
        <v>Planting of tubestock &lt;15cm (assumes 1,000 plants per hectare)</v>
      </c>
      <c r="D47" s="239" t="s">
        <v>49</v>
      </c>
      <c r="E47" s="240"/>
      <c r="F47" s="246" t="str">
        <f>VLOOKUP($B47,Activities!$A$10:$P$152,4,FALSE)</f>
        <v>Ha</v>
      </c>
      <c r="G47" s="1269"/>
      <c r="H47" s="1270"/>
      <c r="I47" s="273">
        <f>VLOOKUP($B47,Activities!$A$10:$S$152,16,FALSE)</f>
        <v>1714.118869047619</v>
      </c>
      <c r="J47" s="269"/>
      <c r="K47" s="388">
        <f t="shared" si="9"/>
        <v>0</v>
      </c>
      <c r="L47" s="248" t="str">
        <f t="shared" si="10"/>
        <v>0.0%</v>
      </c>
      <c r="M47" s="290" t="str">
        <f>VLOOKUP($B47,Activities!$A$10:$S$152,19,FALSE)</f>
        <v>This Activity covers the hand planting of tubestock plants across a broad area.</v>
      </c>
    </row>
    <row r="48" spans="1:13" ht="65.25" customHeight="1" thickBot="1" x14ac:dyDescent="0.3">
      <c r="A48" s="1335"/>
      <c r="B48" s="245" t="s">
        <v>25</v>
      </c>
      <c r="C48" s="259" t="str">
        <f>VLOOKUP($B48,Activities!$A$10:$P$152,3,FALSE)</f>
        <v xml:space="preserve">Construction of a stock proof fence including appropriate gates </v>
      </c>
      <c r="D48" s="239" t="s">
        <v>49</v>
      </c>
      <c r="E48" s="240"/>
      <c r="F48" s="246" t="str">
        <f>VLOOKUP($B48,Activities!$A$10:$P$152,4,FALSE)</f>
        <v>km</v>
      </c>
      <c r="G48" s="1269"/>
      <c r="H48" s="1270"/>
      <c r="I48" s="273">
        <f>VLOOKUP($B48,Activities!$A$10:$S$152,16,FALSE)</f>
        <v>13302.992584007126</v>
      </c>
      <c r="J48" s="269"/>
      <c r="K48" s="388">
        <f t="shared" si="9"/>
        <v>0</v>
      </c>
      <c r="L48" s="248" t="str">
        <f t="shared" si="10"/>
        <v>0.0%</v>
      </c>
      <c r="M48" s="290" t="str">
        <f>VLOOKUP($B48,Activities!$A$10:$S$152,19,FALSE)</f>
        <v>This activity involves the construction of a stock proof fence to protect revegetation against stock and to provide an obstacle to persons to prevent inadvertant access.  It is not designed to prevent a person climbing over it.  It includes an allowance for gates.</v>
      </c>
    </row>
    <row r="49" spans="1:13" ht="15.75" thickBot="1" x14ac:dyDescent="0.3">
      <c r="A49" s="293" t="s">
        <v>53</v>
      </c>
      <c r="B49" s="345" t="str">
        <f>A37</f>
        <v>Topsoil Preparation and Revegetation of Tailings Area</v>
      </c>
      <c r="C49" s="251"/>
      <c r="D49" s="252"/>
      <c r="E49" s="253"/>
      <c r="F49" s="252"/>
      <c r="G49" s="252"/>
      <c r="H49" s="252"/>
      <c r="I49" s="254"/>
      <c r="J49" s="255"/>
      <c r="K49" s="256">
        <f>SUM(K37:K48)</f>
        <v>0</v>
      </c>
      <c r="L49" s="252"/>
      <c r="M49" s="257"/>
    </row>
    <row r="50" spans="1:13" ht="51" customHeight="1" thickBot="1" x14ac:dyDescent="0.3">
      <c r="A50" s="1333" t="s">
        <v>65</v>
      </c>
      <c r="B50" s="270"/>
      <c r="C50" s="218" t="s">
        <v>55</v>
      </c>
      <c r="D50" s="239" t="s">
        <v>49</v>
      </c>
      <c r="E50" s="346"/>
      <c r="F50" s="296"/>
      <c r="G50" s="1269"/>
      <c r="H50" s="1270"/>
      <c r="I50" s="355" t="s">
        <v>475</v>
      </c>
      <c r="J50" s="269"/>
      <c r="K50" s="388">
        <f>IF(D50="Y",J50*E50,"")</f>
        <v>0</v>
      </c>
      <c r="L50" s="248" t="str">
        <f>IFERROR(IF(D50="Y",K50/$K$55,0%),"0.0%")</f>
        <v>0.0%</v>
      </c>
      <c r="M50" s="139" t="s">
        <v>56</v>
      </c>
    </row>
    <row r="51" spans="1:13" ht="51" customHeight="1" thickBot="1" x14ac:dyDescent="0.3">
      <c r="A51" s="1334"/>
      <c r="B51" s="270"/>
      <c r="C51" s="218" t="s">
        <v>55</v>
      </c>
      <c r="D51" s="239" t="s">
        <v>49</v>
      </c>
      <c r="E51" s="346"/>
      <c r="F51" s="296"/>
      <c r="G51" s="1269"/>
      <c r="H51" s="1270"/>
      <c r="I51" s="355" t="s">
        <v>475</v>
      </c>
      <c r="J51" s="269"/>
      <c r="K51" s="388">
        <f>IF(D51="Y",J51*E51,"")</f>
        <v>0</v>
      </c>
      <c r="L51" s="248" t="str">
        <f>IFERROR(IF(D51="Y",K51/$K$55,0%),"0.0%")</f>
        <v>0.0%</v>
      </c>
      <c r="M51" s="139" t="s">
        <v>56</v>
      </c>
    </row>
    <row r="52" spans="1:13" ht="51" customHeight="1" thickBot="1" x14ac:dyDescent="0.3">
      <c r="A52" s="1335"/>
      <c r="B52" s="270"/>
      <c r="C52" s="218" t="s">
        <v>55</v>
      </c>
      <c r="D52" s="239" t="s">
        <v>49</v>
      </c>
      <c r="E52" s="346"/>
      <c r="F52" s="296"/>
      <c r="G52" s="1269"/>
      <c r="H52" s="1270"/>
      <c r="I52" s="355" t="s">
        <v>475</v>
      </c>
      <c r="J52" s="269"/>
      <c r="K52" s="388">
        <f>IF(D52="Y",J52*E52,"")</f>
        <v>0</v>
      </c>
      <c r="L52" s="248" t="str">
        <f>IFERROR(IF(D52="Y",K52/$K$55,0%),"0.0%")</f>
        <v>0.0%</v>
      </c>
      <c r="M52" s="139" t="s">
        <v>56</v>
      </c>
    </row>
    <row r="53" spans="1:13" ht="15.75" thickBot="1" x14ac:dyDescent="0.3">
      <c r="A53" s="293" t="s">
        <v>53</v>
      </c>
      <c r="B53" s="345" t="str">
        <f>A50</f>
        <v>Other Activity in Tailings Area Specific to this Operation</v>
      </c>
      <c r="C53" s="251"/>
      <c r="D53" s="252"/>
      <c r="E53" s="253"/>
      <c r="F53" s="252"/>
      <c r="G53" s="252"/>
      <c r="H53" s="252"/>
      <c r="I53" s="254"/>
      <c r="J53" s="255"/>
      <c r="K53" s="256">
        <f>SUM(K50:K52)</f>
        <v>0</v>
      </c>
      <c r="L53" s="252"/>
      <c r="M53" s="257"/>
    </row>
    <row r="54" spans="1:13" x14ac:dyDescent="0.25">
      <c r="A54" s="260"/>
      <c r="B54" s="260"/>
      <c r="C54" s="261"/>
      <c r="D54" s="262"/>
      <c r="E54" s="263"/>
      <c r="F54" s="262"/>
      <c r="G54" s="262"/>
      <c r="H54" s="262"/>
      <c r="I54" s="264"/>
      <c r="J54" s="265"/>
      <c r="K54" s="266"/>
      <c r="L54" s="262"/>
      <c r="M54" s="261"/>
    </row>
    <row r="55" spans="1:13" ht="21" x14ac:dyDescent="0.25">
      <c r="A55" s="260"/>
      <c r="B55" s="260"/>
      <c r="C55" s="261"/>
      <c r="D55" s="262"/>
      <c r="E55" s="263"/>
      <c r="F55" s="262"/>
      <c r="G55" s="262"/>
      <c r="H55" s="262"/>
      <c r="J55" s="267" t="s">
        <v>929</v>
      </c>
      <c r="K55" s="268">
        <f>K53+K49+K36+K30+K27</f>
        <v>0</v>
      </c>
      <c r="L55" s="262"/>
      <c r="M55" s="261"/>
    </row>
    <row r="56" spans="1:13" x14ac:dyDescent="0.25">
      <c r="A56" s="260"/>
      <c r="B56" s="260"/>
      <c r="C56" s="261"/>
      <c r="D56" s="262"/>
      <c r="E56" s="263"/>
      <c r="F56" s="262"/>
      <c r="G56" s="262"/>
      <c r="H56" s="262"/>
      <c r="I56" s="264"/>
      <c r="J56" s="265"/>
      <c r="K56" s="266"/>
      <c r="L56" s="262"/>
      <c r="M56" s="261"/>
    </row>
    <row r="57" spans="1:13" x14ac:dyDescent="0.25">
      <c r="A57" s="260"/>
      <c r="B57" s="260"/>
      <c r="C57" s="261"/>
      <c r="D57" s="262"/>
      <c r="E57" s="263"/>
      <c r="F57" s="262"/>
      <c r="G57" s="262"/>
      <c r="H57" s="262"/>
      <c r="I57" s="264"/>
      <c r="J57" s="265"/>
      <c r="K57" s="266"/>
      <c r="L57" s="262"/>
      <c r="M57" s="261"/>
    </row>
    <row r="58" spans="1:13" x14ac:dyDescent="0.25">
      <c r="A58" s="260"/>
      <c r="B58" s="260"/>
      <c r="C58" s="261"/>
      <c r="D58" s="262"/>
      <c r="E58" s="263"/>
      <c r="F58" s="262"/>
      <c r="G58" s="262"/>
      <c r="H58" s="262"/>
      <c r="I58" s="264"/>
      <c r="J58" s="265"/>
      <c r="K58" s="266"/>
      <c r="L58" s="262"/>
      <c r="M58" s="261"/>
    </row>
    <row r="59" spans="1:13" x14ac:dyDescent="0.25">
      <c r="A59" s="260"/>
      <c r="B59" s="260"/>
      <c r="C59" s="261"/>
      <c r="D59" s="262"/>
      <c r="E59" s="263"/>
      <c r="F59" s="262"/>
      <c r="G59" s="262"/>
      <c r="H59" s="262"/>
      <c r="I59" s="264"/>
      <c r="J59" s="265"/>
      <c r="K59" s="266"/>
      <c r="L59" s="262"/>
      <c r="M59" s="261"/>
    </row>
    <row r="60" spans="1:13" ht="15.75" x14ac:dyDescent="0.25">
      <c r="A60" s="260"/>
      <c r="B60" s="260"/>
      <c r="C60" s="261"/>
      <c r="D60" s="262"/>
      <c r="E60" s="303"/>
      <c r="F60" s="262"/>
      <c r="G60" s="262"/>
      <c r="H60" s="262"/>
      <c r="I60" s="264"/>
      <c r="J60" s="265"/>
      <c r="K60" s="266"/>
      <c r="L60" s="262"/>
      <c r="M60" s="261"/>
    </row>
    <row r="61" spans="1:13" x14ac:dyDescent="0.25">
      <c r="A61" s="260"/>
      <c r="B61" s="260"/>
      <c r="C61" s="261"/>
      <c r="D61" s="262"/>
      <c r="E61" s="263"/>
      <c r="F61" s="262"/>
      <c r="G61" s="262"/>
      <c r="H61" s="262"/>
      <c r="I61" s="264"/>
      <c r="J61" s="265"/>
      <c r="K61" s="266"/>
      <c r="L61" s="262"/>
      <c r="M61" s="261"/>
    </row>
    <row r="62" spans="1:13" x14ac:dyDescent="0.25">
      <c r="A62" s="260"/>
      <c r="B62" s="260"/>
      <c r="C62" s="261"/>
      <c r="D62" s="262"/>
      <c r="E62" s="263"/>
      <c r="F62" s="262"/>
      <c r="G62" s="262"/>
      <c r="H62" s="262"/>
      <c r="I62" s="264"/>
      <c r="J62" s="265"/>
      <c r="K62" s="266"/>
      <c r="L62" s="262"/>
      <c r="M62" s="261"/>
    </row>
    <row r="63" spans="1:13" x14ac:dyDescent="0.25">
      <c r="A63" s="260"/>
      <c r="B63" s="260"/>
      <c r="C63" s="261"/>
      <c r="D63" s="262"/>
      <c r="E63" s="263"/>
      <c r="F63" s="262"/>
      <c r="G63" s="262"/>
      <c r="H63" s="262"/>
      <c r="I63" s="264"/>
      <c r="J63" s="265"/>
      <c r="K63" s="266"/>
      <c r="L63" s="262"/>
      <c r="M63" s="261"/>
    </row>
    <row r="64" spans="1:13" x14ac:dyDescent="0.25">
      <c r="A64" s="260"/>
      <c r="B64" s="260"/>
      <c r="C64" s="261"/>
      <c r="D64" s="262"/>
      <c r="E64" s="263"/>
      <c r="F64" s="262"/>
      <c r="G64" s="262"/>
      <c r="H64" s="262"/>
      <c r="I64" s="264"/>
      <c r="J64" s="265"/>
      <c r="K64" s="266"/>
      <c r="L64" s="262"/>
      <c r="M64" s="261"/>
    </row>
    <row r="65" spans="1:13" x14ac:dyDescent="0.25">
      <c r="A65" s="260"/>
      <c r="B65" s="260"/>
      <c r="C65" s="261"/>
      <c r="D65" s="262"/>
      <c r="E65" s="263"/>
      <c r="F65" s="262"/>
      <c r="G65" s="262"/>
      <c r="H65" s="262"/>
      <c r="I65" s="264"/>
      <c r="J65" s="265"/>
      <c r="K65" s="266"/>
      <c r="L65" s="262"/>
      <c r="M65" s="261"/>
    </row>
    <row r="66" spans="1:13" x14ac:dyDescent="0.25">
      <c r="A66" s="260"/>
      <c r="B66" s="260"/>
      <c r="C66" s="261"/>
      <c r="D66" s="262"/>
      <c r="E66" s="263"/>
      <c r="F66" s="262"/>
      <c r="G66" s="262"/>
      <c r="H66" s="262"/>
      <c r="I66" s="264"/>
      <c r="J66" s="265"/>
      <c r="K66" s="266"/>
      <c r="L66" s="262"/>
      <c r="M66" s="261"/>
    </row>
    <row r="67" spans="1:13" x14ac:dyDescent="0.25">
      <c r="A67" s="260"/>
      <c r="B67" s="260"/>
      <c r="C67" s="261"/>
      <c r="D67" s="262"/>
      <c r="E67" s="262"/>
      <c r="F67" s="262"/>
      <c r="G67" s="262"/>
      <c r="H67" s="262"/>
      <c r="I67" s="264"/>
      <c r="J67" s="265"/>
      <c r="K67" s="266"/>
      <c r="L67" s="262"/>
      <c r="M67" s="261"/>
    </row>
    <row r="68" spans="1:13" x14ac:dyDescent="0.25">
      <c r="A68" s="260"/>
      <c r="B68" s="260"/>
      <c r="C68" s="261"/>
      <c r="D68" s="262"/>
      <c r="E68" s="262"/>
      <c r="F68" s="262"/>
      <c r="G68" s="262"/>
      <c r="H68" s="262"/>
      <c r="I68" s="264"/>
      <c r="J68" s="265"/>
      <c r="K68" s="266"/>
      <c r="L68" s="262"/>
      <c r="M68" s="261"/>
    </row>
    <row r="69" spans="1:13" x14ac:dyDescent="0.25">
      <c r="C69" s="261"/>
      <c r="D69" s="262"/>
      <c r="E69" s="262"/>
      <c r="F69" s="262"/>
      <c r="G69" s="262"/>
      <c r="H69" s="262"/>
      <c r="I69" s="264"/>
      <c r="J69" s="265"/>
      <c r="K69" s="262"/>
      <c r="L69" s="262"/>
      <c r="M69" s="261"/>
    </row>
    <row r="70" spans="1:13" x14ac:dyDescent="0.25">
      <c r="C70" s="261"/>
      <c r="D70" s="262"/>
      <c r="E70" s="262"/>
      <c r="F70" s="262"/>
      <c r="G70" s="262"/>
      <c r="H70" s="262"/>
      <c r="I70" s="264"/>
      <c r="J70" s="265"/>
      <c r="K70" s="262"/>
      <c r="L70" s="262"/>
      <c r="M70" s="261"/>
    </row>
    <row r="71" spans="1:13" x14ac:dyDescent="0.25">
      <c r="C71" s="261"/>
      <c r="D71" s="262"/>
      <c r="E71" s="262"/>
      <c r="F71" s="262"/>
      <c r="G71" s="262"/>
      <c r="H71" s="262"/>
      <c r="I71" s="262"/>
      <c r="J71" s="262"/>
      <c r="K71" s="262"/>
      <c r="L71" s="262"/>
      <c r="M71" s="261"/>
    </row>
    <row r="72" spans="1:13" x14ac:dyDescent="0.25">
      <c r="D72" s="262"/>
      <c r="E72" s="262"/>
      <c r="F72" s="262"/>
      <c r="G72" s="262"/>
      <c r="H72" s="262"/>
      <c r="I72" s="262"/>
      <c r="J72" s="262"/>
      <c r="K72" s="262"/>
      <c r="L72" s="262"/>
    </row>
    <row r="73" spans="1:13" x14ac:dyDescent="0.25">
      <c r="D73" s="262"/>
      <c r="E73" s="262"/>
      <c r="F73" s="262"/>
      <c r="G73" s="262"/>
      <c r="H73" s="262"/>
      <c r="I73" s="262"/>
      <c r="J73" s="262"/>
      <c r="K73" s="262"/>
      <c r="L73" s="262"/>
    </row>
    <row r="74" spans="1:13" x14ac:dyDescent="0.25">
      <c r="D74" s="262"/>
      <c r="E74" s="262"/>
      <c r="F74" s="262"/>
      <c r="G74" s="262"/>
      <c r="H74" s="262"/>
      <c r="I74" s="262"/>
      <c r="J74" s="262"/>
      <c r="K74" s="262"/>
      <c r="L74" s="262"/>
    </row>
    <row r="75" spans="1:13" x14ac:dyDescent="0.25">
      <c r="D75" s="262"/>
      <c r="E75" s="262"/>
      <c r="F75" s="262"/>
      <c r="G75" s="262"/>
      <c r="H75" s="262"/>
      <c r="I75" s="262"/>
      <c r="J75" s="262"/>
      <c r="K75" s="262"/>
      <c r="L75" s="262"/>
    </row>
    <row r="76" spans="1:13" x14ac:dyDescent="0.25">
      <c r="D76" s="262"/>
      <c r="E76" s="262"/>
      <c r="F76" s="262"/>
      <c r="G76" s="262"/>
      <c r="H76" s="262"/>
      <c r="I76" s="262"/>
      <c r="J76" s="262"/>
      <c r="K76" s="262"/>
      <c r="L76" s="262"/>
    </row>
    <row r="77" spans="1:13" x14ac:dyDescent="0.25">
      <c r="D77" s="262"/>
      <c r="E77" s="262"/>
      <c r="F77" s="262"/>
      <c r="G77" s="262"/>
      <c r="H77" s="262"/>
      <c r="I77" s="262"/>
      <c r="J77" s="262"/>
      <c r="K77" s="262"/>
      <c r="L77" s="262"/>
    </row>
    <row r="78" spans="1:13" x14ac:dyDescent="0.25">
      <c r="D78" s="262"/>
      <c r="E78" s="262"/>
      <c r="F78" s="262"/>
      <c r="G78" s="262"/>
      <c r="H78" s="262"/>
      <c r="I78" s="262"/>
      <c r="J78" s="262"/>
      <c r="K78" s="262"/>
      <c r="L78" s="262"/>
    </row>
    <row r="79" spans="1:13" x14ac:dyDescent="0.25">
      <c r="D79" s="262"/>
      <c r="E79" s="262"/>
      <c r="F79" s="262"/>
      <c r="G79" s="262"/>
      <c r="H79" s="262"/>
      <c r="I79" s="262"/>
      <c r="J79" s="262"/>
      <c r="K79" s="262"/>
      <c r="L79" s="262"/>
    </row>
    <row r="80" spans="1:13" x14ac:dyDescent="0.25">
      <c r="D80" s="262"/>
      <c r="E80" s="262"/>
      <c r="F80" s="262"/>
      <c r="G80" s="262"/>
      <c r="H80" s="262"/>
      <c r="I80" s="262"/>
      <c r="J80" s="262"/>
      <c r="K80" s="262"/>
      <c r="L80" s="262"/>
    </row>
    <row r="81" spans="4:12" x14ac:dyDescent="0.25">
      <c r="D81" s="262"/>
      <c r="E81" s="262"/>
      <c r="F81" s="262"/>
      <c r="G81" s="262"/>
      <c r="H81" s="262"/>
      <c r="I81" s="262"/>
      <c r="J81" s="262"/>
      <c r="K81" s="262"/>
      <c r="L81" s="262"/>
    </row>
    <row r="82" spans="4:12" x14ac:dyDescent="0.25">
      <c r="D82" s="262"/>
      <c r="E82" s="262"/>
      <c r="F82" s="262"/>
      <c r="G82" s="262"/>
      <c r="H82" s="262"/>
      <c r="I82" s="262"/>
      <c r="J82" s="262"/>
      <c r="K82" s="262"/>
      <c r="L82" s="262"/>
    </row>
    <row r="83" spans="4:12" x14ac:dyDescent="0.25">
      <c r="D83" s="262"/>
      <c r="E83" s="262"/>
      <c r="F83" s="262"/>
      <c r="G83" s="262"/>
      <c r="H83" s="262"/>
      <c r="I83" s="262"/>
      <c r="J83" s="262"/>
      <c r="K83" s="262"/>
      <c r="L83" s="262"/>
    </row>
  </sheetData>
  <sheetProtection algorithmName="SHA-512" hashValue="erMF1Cwh0Q2Ezx6KggoXwI2u3RrPpeaEXqWglj4iFef2KvhZmYVdeIM0HXMmcuKb8vre800ZQcgmyTDuzMNQdw==" saltValue="vVH4l3wlzp/h0ppkdm0ZRA==" spinCount="100000" sheet="1" formatCells="0" formatRows="0" selectLockedCells="1"/>
  <mergeCells count="54">
    <mergeCell ref="G46:H46"/>
    <mergeCell ref="G41:H41"/>
    <mergeCell ref="G38:H38"/>
    <mergeCell ref="G35:H35"/>
    <mergeCell ref="G31:H31"/>
    <mergeCell ref="G32:H32"/>
    <mergeCell ref="G42:H42"/>
    <mergeCell ref="G43:H43"/>
    <mergeCell ref="G44:H44"/>
    <mergeCell ref="G45:H45"/>
    <mergeCell ref="G39:H39"/>
    <mergeCell ref="G40:H40"/>
    <mergeCell ref="G52:H52"/>
    <mergeCell ref="G51:H51"/>
    <mergeCell ref="G50:H50"/>
    <mergeCell ref="G48:H48"/>
    <mergeCell ref="G47:H47"/>
    <mergeCell ref="A31:A35"/>
    <mergeCell ref="A37:A48"/>
    <mergeCell ref="A50:A52"/>
    <mergeCell ref="A22:A26"/>
    <mergeCell ref="A28:A29"/>
    <mergeCell ref="C15:E15"/>
    <mergeCell ref="A16:E19"/>
    <mergeCell ref="A1:B1"/>
    <mergeCell ref="C1:E1"/>
    <mergeCell ref="K1:L1"/>
    <mergeCell ref="C2:E2"/>
    <mergeCell ref="C3:E3"/>
    <mergeCell ref="F1:J3"/>
    <mergeCell ref="R1:V1"/>
    <mergeCell ref="R8:V8"/>
    <mergeCell ref="R16:V16"/>
    <mergeCell ref="A5:E6"/>
    <mergeCell ref="G5:J5"/>
    <mergeCell ref="G6:M7"/>
    <mergeCell ref="B7:E7"/>
    <mergeCell ref="B8:E8"/>
    <mergeCell ref="G8:M19"/>
    <mergeCell ref="B9:E9"/>
    <mergeCell ref="B10:E10"/>
    <mergeCell ref="B11:E11"/>
    <mergeCell ref="B12:E12"/>
    <mergeCell ref="A14:B14"/>
    <mergeCell ref="C14:E14"/>
    <mergeCell ref="A15:B15"/>
    <mergeCell ref="L20:M20"/>
    <mergeCell ref="G28:H28"/>
    <mergeCell ref="G26:H26"/>
    <mergeCell ref="G24:H24"/>
    <mergeCell ref="G29:H29"/>
    <mergeCell ref="G21:H21"/>
    <mergeCell ref="G25:H25"/>
    <mergeCell ref="G23:H23"/>
  </mergeCells>
  <dataValidations count="4">
    <dataValidation type="list" allowBlank="1" showInputMessage="1" showErrorMessage="1" sqref="H37" xr:uid="{00000000-0002-0000-0F00-000000000000}">
      <formula1>$U$18:$U$22</formula1>
    </dataValidation>
    <dataValidation type="list" allowBlank="1" showInputMessage="1" showErrorMessage="1" sqref="H33" xr:uid="{00000000-0002-0000-0F00-000001000000}">
      <formula1>$U$3:$U$7</formula1>
    </dataValidation>
    <dataValidation type="list" allowBlank="1" showInputMessage="1" showErrorMessage="1" sqref="H34" xr:uid="{00000000-0002-0000-0F00-000002000000}">
      <formula1>$U$10:$U$14</formula1>
    </dataValidation>
    <dataValidation type="list" allowBlank="1" showInputMessage="1" showErrorMessage="1" sqref="H22" xr:uid="{00000000-0002-0000-0F00-000003000000}">
      <formula1>$X$2:$X$6</formula1>
    </dataValidation>
  </dataValidations>
  <pageMargins left="0.70866141732283472" right="0.70866141732283472" top="0.74803149606299213" bottom="0.74803149606299213" header="0.31496062992125984" footer="0.31496062992125984"/>
  <pageSetup paperSize="9" scale="52" fitToHeight="3" orientation="landscape" r:id="rId1"/>
  <headerFooter>
    <oddHeader>&amp;LDepartment for Energy and Mining&amp;C&amp;"Arial"&amp;12&amp;KA80000 OFFICIAL&amp;1#_x000D_</oddHeader>
    <oddFooter>&amp;L&amp;Z
&amp;F&amp;C&amp;P&amp;R&amp;D</oddFooter>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Y83"/>
  <sheetViews>
    <sheetView showGridLines="0" zoomScale="90" zoomScaleNormal="90" workbookViewId="0">
      <selection activeCell="G8" sqref="G8:M19"/>
    </sheetView>
  </sheetViews>
  <sheetFormatPr defaultColWidth="9.140625" defaultRowHeight="15" x14ac:dyDescent="0.25"/>
  <cols>
    <col min="1" max="1" width="18.5703125" style="233" customWidth="1"/>
    <col min="2" max="2" width="10.42578125" style="233" customWidth="1"/>
    <col min="3" max="3" width="38.42578125" style="233" customWidth="1"/>
    <col min="4" max="4" width="13.5703125" style="233" customWidth="1"/>
    <col min="5" max="5" width="11" style="233" customWidth="1"/>
    <col min="6" max="6" width="9.140625" style="233"/>
    <col min="7" max="7" width="21.5703125" style="233" customWidth="1"/>
    <col min="8" max="8" width="15" style="233" customWidth="1"/>
    <col min="9" max="9" width="12.28515625" style="233" customWidth="1"/>
    <col min="10" max="10" width="12.140625" style="233" customWidth="1"/>
    <col min="11" max="11" width="16.7109375" style="233" customWidth="1"/>
    <col min="12" max="12" width="13.5703125" style="233" customWidth="1"/>
    <col min="13" max="13" width="56.5703125" style="233" customWidth="1"/>
    <col min="14" max="16" width="9.140625" style="233"/>
    <col min="17" max="17" width="11.85546875" style="233" customWidth="1"/>
    <col min="18" max="18" width="9.140625" style="233"/>
    <col min="19" max="19" width="16.7109375" style="233" customWidth="1"/>
    <col min="20" max="21" width="9.140625" style="233"/>
    <col min="22" max="22" width="13.28515625" style="233" customWidth="1"/>
    <col min="23" max="23" width="9.140625" style="233"/>
    <col min="24" max="24" width="29.42578125" style="233" bestFit="1" customWidth="1"/>
    <col min="25" max="25" width="10.5703125" style="233" bestFit="1" customWidth="1"/>
    <col min="26" max="16384" width="9.140625" style="233"/>
  </cols>
  <sheetData>
    <row r="1" spans="1:25" ht="45.75" customHeight="1" x14ac:dyDescent="0.25">
      <c r="A1" s="1322" t="s">
        <v>507</v>
      </c>
      <c r="B1" s="1323"/>
      <c r="C1" s="1324" t="str">
        <f>'Summary Page'!E13</f>
        <v/>
      </c>
      <c r="D1" s="1325"/>
      <c r="E1" s="1326"/>
      <c r="F1" s="1360"/>
      <c r="G1" s="1285"/>
      <c r="H1" s="1285"/>
      <c r="I1" s="1285"/>
      <c r="J1" s="1286"/>
      <c r="K1" s="1295" t="s">
        <v>460</v>
      </c>
      <c r="L1" s="1295"/>
      <c r="M1" s="404" t="s">
        <v>872</v>
      </c>
      <c r="P1" s="525" t="str">
        <f>B33</f>
        <v>A1005</v>
      </c>
      <c r="Q1" s="535" t="s">
        <v>19</v>
      </c>
      <c r="R1" s="1273" t="s">
        <v>62</v>
      </c>
      <c r="S1" s="1274"/>
      <c r="T1" s="1274"/>
      <c r="U1" s="1274"/>
      <c r="V1" s="1275"/>
      <c r="X1" s="516" t="s">
        <v>74</v>
      </c>
      <c r="Y1" s="517" t="str">
        <f>B22</f>
        <v>A1001</v>
      </c>
    </row>
    <row r="2" spans="1:25" ht="21" x14ac:dyDescent="0.35">
      <c r="A2" s="368" t="s">
        <v>461</v>
      </c>
      <c r="B2" s="325">
        <v>6</v>
      </c>
      <c r="C2" s="1296" t="str">
        <f>'Summary Page'!E19</f>
        <v/>
      </c>
      <c r="D2" s="1297"/>
      <c r="E2" s="1348"/>
      <c r="F2" s="1287"/>
      <c r="G2" s="1288"/>
      <c r="H2" s="1288"/>
      <c r="I2" s="1288"/>
      <c r="J2" s="1289"/>
      <c r="K2" s="326"/>
      <c r="L2" s="327" t="s">
        <v>152</v>
      </c>
      <c r="M2" s="328">
        <f>K55</f>
        <v>0</v>
      </c>
      <c r="P2" s="297" t="s">
        <v>61</v>
      </c>
      <c r="Q2" s="371" t="s">
        <v>58</v>
      </c>
      <c r="R2" s="371" t="s">
        <v>59</v>
      </c>
      <c r="S2" s="371" t="s">
        <v>60</v>
      </c>
      <c r="T2" s="371" t="s">
        <v>53</v>
      </c>
      <c r="U2" s="372" t="s">
        <v>61</v>
      </c>
      <c r="V2" s="373" t="s">
        <v>53</v>
      </c>
      <c r="X2" s="41" t="s">
        <v>833</v>
      </c>
      <c r="Y2" s="466">
        <f>VLOOKUP(Y1,Activities!A10:Q129,16,FALSE)</f>
        <v>27868.188604263243</v>
      </c>
    </row>
    <row r="3" spans="1:25" ht="21" x14ac:dyDescent="0.25">
      <c r="A3" s="329" t="s">
        <v>267</v>
      </c>
      <c r="B3" s="330">
        <f>'Version Control'!B50</f>
        <v>7</v>
      </c>
      <c r="C3" s="1356"/>
      <c r="D3" s="1357"/>
      <c r="E3" s="1358"/>
      <c r="F3" s="1290"/>
      <c r="G3" s="1291"/>
      <c r="H3" s="1291"/>
      <c r="I3" s="1291"/>
      <c r="J3" s="1292"/>
      <c r="K3" s="331"/>
      <c r="L3" s="332" t="s">
        <v>462</v>
      </c>
      <c r="M3" s="333">
        <f>'Summary Page'!J73</f>
        <v>0</v>
      </c>
      <c r="P3" s="374" t="s">
        <v>35</v>
      </c>
      <c r="Q3" s="357">
        <f>VLOOKUP(P1,Activities!$A$10:$Q$152,16,FALSE)</f>
        <v>1.1086505828514972</v>
      </c>
      <c r="R3" s="357">
        <f>VLOOKUP(Q1,Activities!$A$10:$Q$152,16,FALSE)</f>
        <v>1.1303836975020005</v>
      </c>
      <c r="S3" s="376">
        <v>1</v>
      </c>
      <c r="T3" s="375">
        <f>R3+Q3</f>
        <v>2.2390342803534979</v>
      </c>
      <c r="U3" s="235" t="s">
        <v>35</v>
      </c>
      <c r="V3" s="377">
        <f>T3</f>
        <v>2.2390342803534979</v>
      </c>
      <c r="X3" s="71" t="s">
        <v>836</v>
      </c>
      <c r="Y3" s="467">
        <f>Y2*2</f>
        <v>55736.377208526486</v>
      </c>
    </row>
    <row r="4" spans="1:25" ht="15" customHeight="1" x14ac:dyDescent="0.25">
      <c r="A4" s="334" t="s">
        <v>463</v>
      </c>
      <c r="B4" s="335">
        <f>'Version Control'!A50</f>
        <v>45531</v>
      </c>
      <c r="K4" s="294"/>
      <c r="L4" s="336" t="s">
        <v>464</v>
      </c>
      <c r="M4" s="337" t="e">
        <f>M2/M3</f>
        <v>#DIV/0!</v>
      </c>
      <c r="P4" s="374" t="s">
        <v>36</v>
      </c>
      <c r="Q4" s="375">
        <f>Q3</f>
        <v>1.1086505828514972</v>
      </c>
      <c r="R4" s="375">
        <f>R3*2</f>
        <v>2.260767395004001</v>
      </c>
      <c r="S4" s="376">
        <v>0.8</v>
      </c>
      <c r="T4" s="375">
        <f>Q4+(R4*S4)</f>
        <v>2.9172644988546983</v>
      </c>
      <c r="U4" s="235" t="s">
        <v>36</v>
      </c>
      <c r="V4" s="377">
        <f>T4</f>
        <v>2.9172644988546983</v>
      </c>
      <c r="X4" s="71" t="s">
        <v>834</v>
      </c>
      <c r="Y4" s="467">
        <f>Y2*3</f>
        <v>83604.565812789733</v>
      </c>
    </row>
    <row r="5" spans="1:25" ht="15" customHeight="1" x14ac:dyDescent="0.25">
      <c r="A5" s="1349" t="s">
        <v>465</v>
      </c>
      <c r="B5" s="1298"/>
      <c r="C5" s="1298"/>
      <c r="D5" s="1298"/>
      <c r="E5" s="1299"/>
      <c r="G5" s="1302" t="s">
        <v>466</v>
      </c>
      <c r="H5" s="1303"/>
      <c r="I5" s="1303"/>
      <c r="J5" s="1304"/>
      <c r="P5" s="374" t="s">
        <v>37</v>
      </c>
      <c r="Q5" s="375">
        <f t="shared" ref="Q5:Q6" si="0">Q4</f>
        <v>1.1086505828514972</v>
      </c>
      <c r="R5" s="375">
        <f>R3*4</f>
        <v>4.5215347900080021</v>
      </c>
      <c r="S5" s="376">
        <v>0.7</v>
      </c>
      <c r="T5" s="375">
        <f>Q5+(R5*S5)</f>
        <v>4.2737249358570981</v>
      </c>
      <c r="U5" s="235" t="s">
        <v>37</v>
      </c>
      <c r="V5" s="377">
        <f>T5</f>
        <v>4.2737249358570981</v>
      </c>
      <c r="X5" s="71" t="s">
        <v>835</v>
      </c>
      <c r="Y5" s="467">
        <f>Y2*5</f>
        <v>139340.94302131623</v>
      </c>
    </row>
    <row r="6" spans="1:25" ht="21" customHeight="1" x14ac:dyDescent="0.25">
      <c r="A6" s="1350"/>
      <c r="B6" s="1351"/>
      <c r="C6" s="1351"/>
      <c r="D6" s="1351"/>
      <c r="E6" s="1352"/>
      <c r="F6" s="299"/>
      <c r="G6" s="1305" t="s">
        <v>484</v>
      </c>
      <c r="H6" s="1306"/>
      <c r="I6" s="1306"/>
      <c r="J6" s="1306"/>
      <c r="K6" s="1306"/>
      <c r="L6" s="1306"/>
      <c r="M6" s="1307"/>
      <c r="P6" s="374" t="s">
        <v>38</v>
      </c>
      <c r="Q6" s="375">
        <f t="shared" si="0"/>
        <v>1.1086505828514972</v>
      </c>
      <c r="R6" s="375">
        <f>R3*8</f>
        <v>9.0430695800160041</v>
      </c>
      <c r="S6" s="376">
        <v>0.6</v>
      </c>
      <c r="T6" s="375">
        <f>Q6+(R6*S6)</f>
        <v>6.5344923308610987</v>
      </c>
      <c r="U6" s="235" t="s">
        <v>244</v>
      </c>
      <c r="V6" s="377">
        <f>T6</f>
        <v>6.5344923308610987</v>
      </c>
      <c r="X6" s="52" t="s">
        <v>613</v>
      </c>
      <c r="Y6" s="124"/>
    </row>
    <row r="7" spans="1:25" ht="15" customHeight="1" x14ac:dyDescent="0.25">
      <c r="A7" s="348">
        <v>1</v>
      </c>
      <c r="B7" s="1353" t="s">
        <v>508</v>
      </c>
      <c r="C7" s="1354"/>
      <c r="D7" s="1354"/>
      <c r="E7" s="1355"/>
      <c r="F7" s="339"/>
      <c r="G7" s="1308"/>
      <c r="H7" s="1309"/>
      <c r="I7" s="1309"/>
      <c r="J7" s="1309"/>
      <c r="K7" s="1309"/>
      <c r="L7" s="1309"/>
      <c r="M7" s="1310"/>
      <c r="P7" s="238"/>
      <c r="Q7" s="236"/>
      <c r="R7" s="236"/>
      <c r="S7" s="236"/>
      <c r="T7" s="236"/>
      <c r="U7" s="236" t="s">
        <v>264</v>
      </c>
      <c r="V7" s="237"/>
    </row>
    <row r="8" spans="1:25" ht="18.75" customHeight="1" x14ac:dyDescent="0.3">
      <c r="A8" s="297">
        <v>2</v>
      </c>
      <c r="B8" s="1340" t="s">
        <v>509</v>
      </c>
      <c r="C8" s="1341"/>
      <c r="D8" s="1341"/>
      <c r="E8" s="1342"/>
      <c r="F8" s="339"/>
      <c r="G8" s="1137"/>
      <c r="H8" s="1138"/>
      <c r="I8" s="1138"/>
      <c r="J8" s="1138"/>
      <c r="K8" s="1138"/>
      <c r="L8" s="1138"/>
      <c r="M8" s="1139"/>
      <c r="P8" s="370" t="str">
        <f>B34</f>
        <v>A1006</v>
      </c>
      <c r="Q8" s="550" t="s">
        <v>19</v>
      </c>
      <c r="R8" s="1273" t="s">
        <v>893</v>
      </c>
      <c r="S8" s="1274"/>
      <c r="T8" s="1274"/>
      <c r="U8" s="1274"/>
      <c r="V8" s="1275"/>
    </row>
    <row r="9" spans="1:25" ht="15.75" customHeight="1" x14ac:dyDescent="0.25">
      <c r="A9" s="297">
        <v>3</v>
      </c>
      <c r="B9" s="1343" t="s">
        <v>510</v>
      </c>
      <c r="C9" s="1344"/>
      <c r="D9" s="1344"/>
      <c r="E9" s="1345"/>
      <c r="F9" s="339"/>
      <c r="G9" s="1140"/>
      <c r="H9" s="1329"/>
      <c r="I9" s="1329"/>
      <c r="J9" s="1329"/>
      <c r="K9" s="1329"/>
      <c r="L9" s="1329"/>
      <c r="M9" s="1142"/>
      <c r="P9" s="297" t="s">
        <v>61</v>
      </c>
      <c r="Q9" s="371" t="s">
        <v>58</v>
      </c>
      <c r="R9" s="371" t="s">
        <v>59</v>
      </c>
      <c r="S9" s="371" t="s">
        <v>60</v>
      </c>
      <c r="T9" s="371" t="s">
        <v>53</v>
      </c>
      <c r="U9" s="372" t="s">
        <v>61</v>
      </c>
      <c r="V9" s="373" t="s">
        <v>53</v>
      </c>
    </row>
    <row r="10" spans="1:25" ht="15" customHeight="1" x14ac:dyDescent="0.25">
      <c r="A10" s="297">
        <v>4</v>
      </c>
      <c r="B10" s="1327" t="s">
        <v>511</v>
      </c>
      <c r="C10" s="1327"/>
      <c r="D10" s="1327"/>
      <c r="E10" s="1328"/>
      <c r="F10" s="339"/>
      <c r="G10" s="1140"/>
      <c r="H10" s="1329"/>
      <c r="I10" s="1329"/>
      <c r="J10" s="1329"/>
      <c r="K10" s="1329"/>
      <c r="L10" s="1329"/>
      <c r="M10" s="1142"/>
      <c r="P10" s="374" t="s">
        <v>35</v>
      </c>
      <c r="Q10" s="357">
        <f>VLOOKUP(P8,Activities!$A$10:$Q$152,16,FALSE)</f>
        <v>1.1086505828514972</v>
      </c>
      <c r="R10" s="357">
        <f>VLOOKUP(Q8,Activities!$A$10:$Q$152,16,FALSE)</f>
        <v>1.1303836975020005</v>
      </c>
      <c r="S10" s="376">
        <v>1</v>
      </c>
      <c r="T10" s="375">
        <f>R10+Q10</f>
        <v>2.2390342803534979</v>
      </c>
      <c r="U10" s="235" t="s">
        <v>35</v>
      </c>
      <c r="V10" s="377">
        <f>T10</f>
        <v>2.2390342803534979</v>
      </c>
    </row>
    <row r="11" spans="1:25" ht="15" customHeight="1" x14ac:dyDescent="0.25">
      <c r="A11" s="297">
        <v>5</v>
      </c>
      <c r="B11" s="1330"/>
      <c r="C11" s="1331"/>
      <c r="D11" s="1331"/>
      <c r="E11" s="1332"/>
      <c r="F11" s="339"/>
      <c r="G11" s="1140"/>
      <c r="H11" s="1329"/>
      <c r="I11" s="1329"/>
      <c r="J11" s="1329"/>
      <c r="K11" s="1329"/>
      <c r="L11" s="1329"/>
      <c r="M11" s="1142"/>
      <c r="P11" s="374" t="s">
        <v>36</v>
      </c>
      <c r="Q11" s="375">
        <f>Q10</f>
        <v>1.1086505828514972</v>
      </c>
      <c r="R11" s="375">
        <f>R10*2</f>
        <v>2.260767395004001</v>
      </c>
      <c r="S11" s="376">
        <v>0.8</v>
      </c>
      <c r="T11" s="375">
        <f>Q11+(R11*S11)</f>
        <v>2.9172644988546983</v>
      </c>
      <c r="U11" s="235" t="s">
        <v>36</v>
      </c>
      <c r="V11" s="377">
        <f>T11</f>
        <v>2.9172644988546983</v>
      </c>
    </row>
    <row r="12" spans="1:25" ht="15" customHeight="1" x14ac:dyDescent="0.25">
      <c r="A12" s="305">
        <v>6</v>
      </c>
      <c r="B12" s="1282"/>
      <c r="C12" s="1282"/>
      <c r="D12" s="1282"/>
      <c r="E12" s="1283"/>
      <c r="G12" s="1140"/>
      <c r="H12" s="1329"/>
      <c r="I12" s="1329"/>
      <c r="J12" s="1329"/>
      <c r="K12" s="1329"/>
      <c r="L12" s="1329"/>
      <c r="M12" s="1142"/>
      <c r="P12" s="374" t="s">
        <v>37</v>
      </c>
      <c r="Q12" s="375">
        <f t="shared" ref="Q12:Q13" si="1">Q11</f>
        <v>1.1086505828514972</v>
      </c>
      <c r="R12" s="375">
        <f>R10*4</f>
        <v>4.5215347900080021</v>
      </c>
      <c r="S12" s="376">
        <v>0.7</v>
      </c>
      <c r="T12" s="375">
        <f>Q12+(R12*S12)</f>
        <v>4.2737249358570981</v>
      </c>
      <c r="U12" s="235" t="s">
        <v>37</v>
      </c>
      <c r="V12" s="377">
        <f>T12</f>
        <v>4.2737249358570981</v>
      </c>
    </row>
    <row r="13" spans="1:25" ht="15" customHeight="1" x14ac:dyDescent="0.25">
      <c r="A13" s="340" t="s">
        <v>34</v>
      </c>
      <c r="G13" s="1140"/>
      <c r="H13" s="1329"/>
      <c r="I13" s="1329"/>
      <c r="J13" s="1329"/>
      <c r="K13" s="1329"/>
      <c r="L13" s="1329"/>
      <c r="M13" s="1142"/>
      <c r="P13" s="374" t="s">
        <v>38</v>
      </c>
      <c r="Q13" s="375">
        <f t="shared" si="1"/>
        <v>1.1086505828514972</v>
      </c>
      <c r="R13" s="375">
        <f>R10*8</f>
        <v>9.0430695800160041</v>
      </c>
      <c r="S13" s="376">
        <v>0.6</v>
      </c>
      <c r="T13" s="375">
        <f>Q13+(R13*S13)</f>
        <v>6.5344923308610987</v>
      </c>
      <c r="U13" s="235" t="s">
        <v>244</v>
      </c>
      <c r="V13" s="377">
        <f>T13</f>
        <v>6.5344923308610987</v>
      </c>
    </row>
    <row r="14" spans="1:25" ht="15" customHeight="1" x14ac:dyDescent="0.25">
      <c r="A14" s="1276"/>
      <c r="B14" s="1277"/>
      <c r="C14" s="1278" t="s">
        <v>352</v>
      </c>
      <c r="D14" s="1278"/>
      <c r="E14" s="1279"/>
      <c r="G14" s="1140"/>
      <c r="H14" s="1329"/>
      <c r="I14" s="1329"/>
      <c r="J14" s="1329"/>
      <c r="K14" s="1329"/>
      <c r="L14" s="1329"/>
      <c r="M14" s="1142"/>
      <c r="P14" s="238"/>
      <c r="Q14" s="236"/>
      <c r="R14" s="236"/>
      <c r="S14" s="236"/>
      <c r="T14" s="236"/>
      <c r="U14" s="236" t="s">
        <v>264</v>
      </c>
      <c r="V14" s="237"/>
    </row>
    <row r="15" spans="1:25" ht="15" customHeight="1" x14ac:dyDescent="0.25">
      <c r="A15" s="1201"/>
      <c r="B15" s="1202"/>
      <c r="C15" s="1280" t="s">
        <v>467</v>
      </c>
      <c r="D15" s="1280"/>
      <c r="E15" s="1281"/>
      <c r="G15" s="1140"/>
      <c r="H15" s="1329"/>
      <c r="I15" s="1329"/>
      <c r="J15" s="1329"/>
      <c r="K15" s="1329"/>
      <c r="L15" s="1329"/>
      <c r="M15" s="1142"/>
    </row>
    <row r="16" spans="1:25" ht="18.75" customHeight="1" x14ac:dyDescent="0.3">
      <c r="A16" s="1284" t="s">
        <v>824</v>
      </c>
      <c r="B16" s="1285"/>
      <c r="C16" s="1285"/>
      <c r="D16" s="1285"/>
      <c r="E16" s="1286"/>
      <c r="G16" s="1140"/>
      <c r="H16" s="1329"/>
      <c r="I16" s="1329"/>
      <c r="J16" s="1329"/>
      <c r="K16" s="1329"/>
      <c r="L16" s="1329"/>
      <c r="M16" s="1142"/>
      <c r="P16" s="370" t="str">
        <f>B37</f>
        <v>A1013</v>
      </c>
      <c r="Q16" s="550" t="s">
        <v>19</v>
      </c>
      <c r="R16" s="1273" t="s">
        <v>72</v>
      </c>
      <c r="S16" s="1274"/>
      <c r="T16" s="1274"/>
      <c r="U16" s="1274"/>
      <c r="V16" s="1275"/>
    </row>
    <row r="17" spans="1:22" ht="15" customHeight="1" x14ac:dyDescent="0.25">
      <c r="A17" s="1287"/>
      <c r="B17" s="1288"/>
      <c r="C17" s="1288"/>
      <c r="D17" s="1288"/>
      <c r="E17" s="1289"/>
      <c r="G17" s="1140"/>
      <c r="H17" s="1329"/>
      <c r="I17" s="1329"/>
      <c r="J17" s="1329"/>
      <c r="K17" s="1329"/>
      <c r="L17" s="1329"/>
      <c r="M17" s="1142"/>
      <c r="P17" s="297" t="s">
        <v>61</v>
      </c>
      <c r="Q17" s="371" t="s">
        <v>58</v>
      </c>
      <c r="R17" s="371" t="s">
        <v>59</v>
      </c>
      <c r="S17" s="371" t="s">
        <v>60</v>
      </c>
      <c r="T17" s="371" t="s">
        <v>53</v>
      </c>
      <c r="U17" s="372" t="s">
        <v>61</v>
      </c>
      <c r="V17" s="373" t="s">
        <v>53</v>
      </c>
    </row>
    <row r="18" spans="1:22" ht="15" customHeight="1" x14ac:dyDescent="0.25">
      <c r="A18" s="1287"/>
      <c r="B18" s="1288"/>
      <c r="C18" s="1288"/>
      <c r="D18" s="1288"/>
      <c r="E18" s="1289"/>
      <c r="G18" s="1140"/>
      <c r="H18" s="1329"/>
      <c r="I18" s="1329"/>
      <c r="J18" s="1329"/>
      <c r="K18" s="1329"/>
      <c r="L18" s="1329"/>
      <c r="M18" s="1142"/>
      <c r="P18" s="374" t="s">
        <v>35</v>
      </c>
      <c r="Q18" s="357">
        <f>VLOOKUP(P16,Activities!$A$10:$Q$152,16,FALSE)</f>
        <v>1.4289323610931841</v>
      </c>
      <c r="R18" s="357">
        <f>VLOOKUP(Q16,Activities!$A$10:$Q$152,16,FALSE)</f>
        <v>1.1303836975020005</v>
      </c>
      <c r="S18" s="376">
        <v>1</v>
      </c>
      <c r="T18" s="375">
        <f>R18+Q18</f>
        <v>2.5593160585951846</v>
      </c>
      <c r="U18" s="235" t="s">
        <v>35</v>
      </c>
      <c r="V18" s="377">
        <f>T18</f>
        <v>2.5593160585951846</v>
      </c>
    </row>
    <row r="19" spans="1:22" ht="15" customHeight="1" x14ac:dyDescent="0.25">
      <c r="A19" s="1290"/>
      <c r="B19" s="1291"/>
      <c r="C19" s="1291"/>
      <c r="D19" s="1291"/>
      <c r="E19" s="1292"/>
      <c r="G19" s="1143"/>
      <c r="H19" s="1144"/>
      <c r="I19" s="1144"/>
      <c r="J19" s="1144"/>
      <c r="K19" s="1144"/>
      <c r="L19" s="1144"/>
      <c r="M19" s="1145"/>
      <c r="P19" s="374" t="s">
        <v>36</v>
      </c>
      <c r="Q19" s="375">
        <f>Q18</f>
        <v>1.4289323610931841</v>
      </c>
      <c r="R19" s="375">
        <f>R18*2</f>
        <v>2.260767395004001</v>
      </c>
      <c r="S19" s="376">
        <v>0.8</v>
      </c>
      <c r="T19" s="375">
        <f>Q19+(R19*S19)</f>
        <v>3.237546277096385</v>
      </c>
      <c r="U19" s="235" t="s">
        <v>36</v>
      </c>
      <c r="V19" s="377">
        <f>T19</f>
        <v>3.237546277096385</v>
      </c>
    </row>
    <row r="20" spans="1:22" ht="15" customHeight="1" x14ac:dyDescent="0.25">
      <c r="D20" s="366"/>
      <c r="J20" s="219"/>
      <c r="K20" s="367"/>
      <c r="L20" s="1291"/>
      <c r="M20" s="1292"/>
      <c r="P20" s="374" t="s">
        <v>37</v>
      </c>
      <c r="Q20" s="375">
        <f t="shared" ref="Q20:Q21" si="2">Q19</f>
        <v>1.4289323610931841</v>
      </c>
      <c r="R20" s="375">
        <f>R18*4</f>
        <v>4.5215347900080021</v>
      </c>
      <c r="S20" s="376">
        <v>0.7</v>
      </c>
      <c r="T20" s="375">
        <f>Q20+(R20*S20)</f>
        <v>4.5940067140987857</v>
      </c>
      <c r="U20" s="235" t="s">
        <v>37</v>
      </c>
      <c r="V20" s="377">
        <f>T20</f>
        <v>4.5940067140987857</v>
      </c>
    </row>
    <row r="21" spans="1:22" ht="60.75" customHeight="1" thickBot="1" x14ac:dyDescent="0.3">
      <c r="A21" s="119" t="s">
        <v>39</v>
      </c>
      <c r="B21" s="120" t="s">
        <v>40</v>
      </c>
      <c r="C21" s="120" t="s">
        <v>479</v>
      </c>
      <c r="D21" s="311" t="s">
        <v>272</v>
      </c>
      <c r="E21" s="311" t="s">
        <v>43</v>
      </c>
      <c r="F21" s="120" t="s">
        <v>273</v>
      </c>
      <c r="G21" s="1212" t="s">
        <v>416</v>
      </c>
      <c r="H21" s="1212"/>
      <c r="I21" s="120" t="s">
        <v>45</v>
      </c>
      <c r="J21" s="312" t="s">
        <v>271</v>
      </c>
      <c r="K21" s="120" t="s">
        <v>47</v>
      </c>
      <c r="L21" s="120" t="s">
        <v>270</v>
      </c>
      <c r="M21" s="317" t="s">
        <v>415</v>
      </c>
      <c r="P21" s="374" t="s">
        <v>38</v>
      </c>
      <c r="Q21" s="375">
        <f t="shared" si="2"/>
        <v>1.4289323610931841</v>
      </c>
      <c r="R21" s="375">
        <f>R18*8</f>
        <v>9.0430695800160041</v>
      </c>
      <c r="S21" s="376">
        <v>0.6</v>
      </c>
      <c r="T21" s="375">
        <f>Q21+(R21*S21)</f>
        <v>6.8547741091027863</v>
      </c>
      <c r="U21" s="235" t="s">
        <v>244</v>
      </c>
      <c r="V21" s="377">
        <f>T21</f>
        <v>6.8547741091027863</v>
      </c>
    </row>
    <row r="22" spans="1:22" s="243" customFormat="1" ht="60.75" thickBot="1" x14ac:dyDescent="0.3">
      <c r="A22" s="1293" t="s">
        <v>57</v>
      </c>
      <c r="B22" s="245" t="s">
        <v>8</v>
      </c>
      <c r="C22" s="259" t="str">
        <f>VLOOKUP($B22,Activities!$A$10:$P$152,3,FALSE)</f>
        <v>Design/Quantify/Survey of Tailings Dam to confirm appropriate Cover Specifications</v>
      </c>
      <c r="D22" s="239" t="s">
        <v>49</v>
      </c>
      <c r="E22" s="166"/>
      <c r="F22" s="246" t="str">
        <f>VLOOKUP($B22,Activities!$A$10:$P$152,4,FALSE)</f>
        <v>Item</v>
      </c>
      <c r="G22" s="313" t="s">
        <v>837</v>
      </c>
      <c r="H22" s="140" t="s">
        <v>613</v>
      </c>
      <c r="I22" s="273">
        <f>VLOOKUP(H22,X2:Y6,2,FALSE)</f>
        <v>0</v>
      </c>
      <c r="J22" s="269"/>
      <c r="K22" s="388">
        <f>IF(D22="Y",IF(J22="",I22*E22,J22*E22),"")</f>
        <v>0</v>
      </c>
      <c r="L22" s="248" t="str">
        <f>IFERROR(IF(D22="Y",K22/$K$55,0%),"0.0%")</f>
        <v>0.0%</v>
      </c>
      <c r="M22" s="290" t="str">
        <f>VLOOKUP($B22,Activities!$A$10:$S$152,19,FALSE)</f>
        <v>The sum covers the design and specification of the cover thickness and the surveying of the storage facility.  It covers the equivalent of approximately 50 to 60 hours of professional surveying, engineering and laboratory work involved when a third party is required to determine the specification of a cover for a tailing storage facility.</v>
      </c>
      <c r="P22" s="378"/>
      <c r="Q22" s="379"/>
      <c r="R22" s="379"/>
      <c r="S22" s="379"/>
      <c r="T22" s="379"/>
      <c r="U22" s="236" t="s">
        <v>264</v>
      </c>
      <c r="V22" s="380"/>
    </row>
    <row r="23" spans="1:22" s="243" customFormat="1" ht="84.75" thickBot="1" x14ac:dyDescent="0.3">
      <c r="A23" s="1336"/>
      <c r="B23" s="258" t="s">
        <v>241</v>
      </c>
      <c r="C23" s="259" t="str">
        <f>VLOOKUP($B23,Activities!$A$10:$P$152,3,FALSE)</f>
        <v>Characteristics of soil and groundwater contamination (Environmental site assessment)</v>
      </c>
      <c r="D23" s="239" t="s">
        <v>49</v>
      </c>
      <c r="E23" s="240"/>
      <c r="F23" s="246" t="str">
        <f>VLOOKUP($B23,Activities!$A$10:$P$152,4,FALSE)</f>
        <v>Ha</v>
      </c>
      <c r="G23" s="1269"/>
      <c r="H23" s="1270"/>
      <c r="I23" s="273">
        <f>VLOOKUP($B23,Activities!$A$10:$S$152,16,FALSE)</f>
        <v>32524.962920035628</v>
      </c>
      <c r="J23" s="269"/>
      <c r="K23" s="388">
        <f t="shared" ref="K23:K26" si="3">IF(D23="Y",IF(J23="",I23*E23,J23*E23),0)</f>
        <v>0</v>
      </c>
      <c r="L23" s="248" t="str">
        <f t="shared" ref="L23:L26" si="4">IFERROR(IF(D23="Y",K23/$K$59,0%),"0.0%")</f>
        <v>0.0%</v>
      </c>
      <c r="M23" s="290" t="str">
        <f>VLOOKUP($B23,Activities!$A$10:$S$152,19,FALSE)</f>
        <v>Assumes soil sampling at 10 locations and development of up to four groundwater wells and one groundwater monitoring event (GME) per hectare.  Chemical analysis of one soild sample per location and one groundwater sample per well for a standard suite of chemicals (eg heavy metals, selected organics) of potential interest.  Soil sites advance to a maximum of 1 metre below ground level and wells to a maximum depth of 12 metres below ground level.</v>
      </c>
      <c r="P23" s="283"/>
      <c r="Q23" s="283"/>
      <c r="R23" s="283"/>
      <c r="S23" s="283"/>
      <c r="T23" s="283"/>
      <c r="U23" s="234"/>
      <c r="V23" s="283"/>
    </row>
    <row r="24" spans="1:22" s="243" customFormat="1" ht="72.75" thickBot="1" x14ac:dyDescent="0.3">
      <c r="A24" s="1336"/>
      <c r="B24" s="245" t="s">
        <v>233</v>
      </c>
      <c r="C24" s="259" t="str">
        <f>VLOOKUP($B24,Activities!$A$10:$P$152,3,FALSE)</f>
        <v>Demolish and Removal of Pipework - Plastic (Borefields, tailing facilities, etc)</v>
      </c>
      <c r="D24" s="239" t="s">
        <v>49</v>
      </c>
      <c r="E24" s="240"/>
      <c r="F24" s="246" t="str">
        <f>VLOOKUP($B24,Activities!$A$10:$P$152,4,FALSE)</f>
        <v>m</v>
      </c>
      <c r="G24" s="1269"/>
      <c r="H24" s="1270"/>
      <c r="I24" s="273">
        <f>VLOOKUP($B24,Activities!$A$10:$S$152,16,FALSE)</f>
        <v>13.119651535666517</v>
      </c>
      <c r="J24" s="269"/>
      <c r="K24" s="388">
        <f t="shared" si="3"/>
        <v>0</v>
      </c>
      <c r="L24" s="248" t="str">
        <f t="shared" si="4"/>
        <v>0.0%</v>
      </c>
      <c r="M24" s="290" t="str">
        <f>VLOOKUP($B24,Activities!$A$10:$S$152,19,FALSE)</f>
        <v>The activity consists of removing all pipework within the area and disposing of this pipework in an approved dump on the site.  The pipework should be cut up or shredded.  The activity assumes that the pipe is &lt;200mm and is plastic in nature.  If the pipe is very large or steel a separate demolition price should be prepared.  It does not inlcude pipework within a process plant.</v>
      </c>
    </row>
    <row r="25" spans="1:22" s="243" customFormat="1" ht="80.25" customHeight="1" thickBot="1" x14ac:dyDescent="0.3">
      <c r="A25" s="1336"/>
      <c r="B25" s="245" t="s">
        <v>434</v>
      </c>
      <c r="C25" s="259" t="str">
        <f>VLOOKUP($B25,Activities!$A$10:$P$152,3,FALSE)</f>
        <v>Removal and Disposal of Major Trunk Pipelines</v>
      </c>
      <c r="D25" s="239" t="s">
        <v>49</v>
      </c>
      <c r="E25" s="240"/>
      <c r="F25" s="246" t="str">
        <f>VLOOKUP($B25,Activities!$A$10:$P$152,4,FALSE)</f>
        <v>m</v>
      </c>
      <c r="G25" s="1269"/>
      <c r="H25" s="1270"/>
      <c r="I25" s="273">
        <f>VLOOKUP($B25,Activities!$A$10:$S$152,16,FALSE)</f>
        <v>32.467068764228138</v>
      </c>
      <c r="J25" s="269"/>
      <c r="K25" s="388">
        <f t="shared" si="3"/>
        <v>0</v>
      </c>
      <c r="L25" s="248" t="str">
        <f t="shared" si="4"/>
        <v>0.0%</v>
      </c>
      <c r="M25" s="290" t="str">
        <f>VLOOKUP($B25,Activities!$A$10:$S$152,19,FALSE)</f>
        <v>The activity relates specifically to the removal and disposal of trunk pipelines assumed to be plastic in nature but greater than 200 mm in diameter.   The pipework should be cut up or shredded.   If the pipe is very large or steel a separate demolition price should be prepared.  It does not inlcude pipework within a process plant.</v>
      </c>
    </row>
    <row r="26" spans="1:22" s="243" customFormat="1" ht="49.5" customHeight="1" thickBot="1" x14ac:dyDescent="0.3">
      <c r="A26" s="1294"/>
      <c r="B26" s="245" t="s">
        <v>10</v>
      </c>
      <c r="C26" s="259" t="str">
        <f>VLOOKUP($B26,Activities!$A$10:$P$152,3,FALSE)</f>
        <v>Pump Station - Above Ground on concrete slab - Demolish and remove</v>
      </c>
      <c r="D26" s="239" t="s">
        <v>49</v>
      </c>
      <c r="E26" s="240"/>
      <c r="F26" s="246" t="str">
        <f>VLOOKUP($B26,Activities!$A$10:$P$152,4,FALSE)</f>
        <v>Item</v>
      </c>
      <c r="G26" s="1269"/>
      <c r="H26" s="1270"/>
      <c r="I26" s="273">
        <f>VLOOKUP($B26,Activities!$A$10:$S$152,16,FALSE)</f>
        <v>1613.7887890157565</v>
      </c>
      <c r="J26" s="269"/>
      <c r="K26" s="388">
        <f t="shared" si="3"/>
        <v>0</v>
      </c>
      <c r="L26" s="248" t="str">
        <f t="shared" si="4"/>
        <v>0.0%</v>
      </c>
      <c r="M26" s="290" t="str">
        <f>VLOOKUP($B26,Activities!$A$10:$S$152,19,FALSE)</f>
        <v xml:space="preserve">The sum covers the demolition and removal of a pumping station and associated equipment </v>
      </c>
    </row>
    <row r="27" spans="1:22" s="243" customFormat="1" ht="15.75" thickBot="1" x14ac:dyDescent="0.3">
      <c r="A27" s="293" t="s">
        <v>53</v>
      </c>
      <c r="B27" s="345" t="str">
        <f>A22</f>
        <v xml:space="preserve">Preliminaries </v>
      </c>
      <c r="C27" s="251"/>
      <c r="D27" s="252"/>
      <c r="E27" s="253"/>
      <c r="F27" s="252"/>
      <c r="G27" s="252"/>
      <c r="H27" s="252"/>
      <c r="I27" s="254"/>
      <c r="J27" s="255"/>
      <c r="K27" s="256">
        <f>SUM(K22:K26)</f>
        <v>0</v>
      </c>
      <c r="L27" s="252"/>
      <c r="M27" s="257"/>
    </row>
    <row r="28" spans="1:22" s="243" customFormat="1" ht="49.5" customHeight="1" thickBot="1" x14ac:dyDescent="0.3">
      <c r="A28" s="1337" t="s">
        <v>66</v>
      </c>
      <c r="B28" s="270"/>
      <c r="C28" s="304" t="s">
        <v>67</v>
      </c>
      <c r="D28" s="239" t="s">
        <v>49</v>
      </c>
      <c r="E28" s="346"/>
      <c r="F28" s="296"/>
      <c r="G28" s="1269"/>
      <c r="H28" s="1270"/>
      <c r="I28" s="355" t="s">
        <v>475</v>
      </c>
      <c r="J28" s="269"/>
      <c r="K28" s="387">
        <f>IF(D28="Y",J28*E28,"")</f>
        <v>0</v>
      </c>
      <c r="L28" s="248" t="str">
        <f>IFERROR(IF(D28="Y",K28/$K$55,0%),"0.0%")</f>
        <v>0.0%</v>
      </c>
      <c r="M28" s="139" t="s">
        <v>577</v>
      </c>
    </row>
    <row r="29" spans="1:22" s="243" customFormat="1" ht="49.5" customHeight="1" thickBot="1" x14ac:dyDescent="0.3">
      <c r="A29" s="1338"/>
      <c r="B29" s="270"/>
      <c r="C29" s="304" t="s">
        <v>67</v>
      </c>
      <c r="D29" s="239" t="s">
        <v>49</v>
      </c>
      <c r="E29" s="346"/>
      <c r="F29" s="296"/>
      <c r="G29" s="1269"/>
      <c r="H29" s="1270"/>
      <c r="I29" s="355" t="s">
        <v>475</v>
      </c>
      <c r="J29" s="269"/>
      <c r="K29" s="387">
        <f>IF(D29="Y",J29*E29,"")</f>
        <v>0</v>
      </c>
      <c r="L29" s="248" t="str">
        <f>IFERROR(IF(D29="Y",K29/$K$55,0%),"0.0%")</f>
        <v>0.0%</v>
      </c>
      <c r="M29" s="139" t="s">
        <v>577</v>
      </c>
    </row>
    <row r="30" spans="1:22" s="243" customFormat="1" ht="15.75" thickBot="1" x14ac:dyDescent="0.3">
      <c r="A30" s="291" t="s">
        <v>53</v>
      </c>
      <c r="B30" s="345" t="str">
        <f>A28</f>
        <v xml:space="preserve">Special Treatments </v>
      </c>
      <c r="C30" s="251"/>
      <c r="D30" s="252"/>
      <c r="E30" s="253"/>
      <c r="F30" s="252"/>
      <c r="G30" s="252"/>
      <c r="H30" s="252"/>
      <c r="I30" s="254"/>
      <c r="J30" s="255"/>
      <c r="K30" s="256">
        <f>SUM(K28:K29)</f>
        <v>0</v>
      </c>
      <c r="L30" s="252"/>
      <c r="M30" s="257"/>
    </row>
    <row r="31" spans="1:22" s="243" customFormat="1" ht="64.5" customHeight="1" thickBot="1" x14ac:dyDescent="0.3">
      <c r="A31" s="1333" t="s">
        <v>578</v>
      </c>
      <c r="B31" s="245" t="s">
        <v>13</v>
      </c>
      <c r="C31" s="259" t="str">
        <f>VLOOKUP($B31,Activities!$A$10:$P$152,3,FALSE)</f>
        <v>Major Bulk Pushing/Dozing to achieve Final Land Forms</v>
      </c>
      <c r="D31" s="239" t="s">
        <v>49</v>
      </c>
      <c r="E31" s="608"/>
      <c r="F31" s="246" t="str">
        <f>VLOOKUP($B31,Activities!$A$10:$P$152,4,FALSE)</f>
        <v>m3</v>
      </c>
      <c r="G31" s="1269"/>
      <c r="H31" s="1270"/>
      <c r="I31" s="273">
        <f>VLOOKUP($B31,Activities!$A$10:$S$152,16,FALSE)</f>
        <v>0.96390609627070267</v>
      </c>
      <c r="J31" s="269"/>
      <c r="K31" s="388">
        <f t="shared" ref="K31:K32" si="5">IF(D31="Y",IF(J31="",I31*E31,J31*E31),0)</f>
        <v>0</v>
      </c>
      <c r="L31" s="248" t="str">
        <f t="shared" ref="L31:L32" si="6">IFERROR(IF(D31="Y",K31/$K$59,0%),"0.0%")</f>
        <v>0.0%</v>
      </c>
      <c r="M31" s="290" t="str">
        <f>VLOOKUP($B31,Activities!$A$10:$S$152,19,FALSE)</f>
        <v>This unit cost covers the use of a dozer to push material within reasonable confines to achieve a Final Land Form.  It is often undertaken prior to covering a tailing storage facility</v>
      </c>
      <c r="P31" s="233"/>
      <c r="Q31" s="233"/>
      <c r="R31" s="233"/>
      <c r="S31" s="233"/>
      <c r="T31" s="233"/>
      <c r="U31" s="233"/>
      <c r="V31" s="233"/>
    </row>
    <row r="32" spans="1:22" s="243" customFormat="1" ht="64.5" customHeight="1" thickBot="1" x14ac:dyDescent="0.3">
      <c r="A32" s="1334"/>
      <c r="B32" s="258" t="s">
        <v>79</v>
      </c>
      <c r="C32" s="259" t="str">
        <f>VLOOKUP($B32,Activities!$A$10:$P$152,3,FALSE)</f>
        <v>Minor Shaping across a Dump or Disturbed Area</v>
      </c>
      <c r="D32" s="239" t="s">
        <v>49</v>
      </c>
      <c r="E32" s="608"/>
      <c r="F32" s="246" t="str">
        <f>VLOOKUP($B32,Activities!$A$10:$P$152,4,FALSE)</f>
        <v>Ha</v>
      </c>
      <c r="G32" s="1269"/>
      <c r="H32" s="1270"/>
      <c r="I32" s="273">
        <f>VLOOKUP($B32,Activities!$A$10:$S$152,16,FALSE)</f>
        <v>2987.2221197728068</v>
      </c>
      <c r="J32" s="269"/>
      <c r="K32" s="388">
        <f t="shared" si="5"/>
        <v>0</v>
      </c>
      <c r="L32" s="248" t="str">
        <f t="shared" si="6"/>
        <v>0.0%</v>
      </c>
      <c r="M32" s="290" t="str">
        <f>VLOOKUP($B32,Activities!$A$10:$S$152,19,FALSE)</f>
        <v xml:space="preserve">This activity covers minor shaping shifting pushing across a dump or disturbed area.  It is based on a rate per hectare.  It covers area where there needs to be some clearing work, tidying up of disturbed ground,  but not just bulk pushing </v>
      </c>
      <c r="P32" s="233"/>
      <c r="Q32" s="233"/>
      <c r="R32" s="233"/>
      <c r="S32" s="233"/>
      <c r="T32" s="233"/>
      <c r="U32" s="233"/>
      <c r="V32" s="233"/>
    </row>
    <row r="33" spans="1:13" ht="70.5" customHeight="1" thickBot="1" x14ac:dyDescent="0.3">
      <c r="A33" s="1334"/>
      <c r="B33" s="245" t="s">
        <v>16</v>
      </c>
      <c r="C33" s="259" t="str">
        <f>VLOOKUP($B33,Activities!$A$10:$P$152,3,FALSE)</f>
        <v>Load and haul of mined, processed, stockpiled materials or topsoil</v>
      </c>
      <c r="D33" s="239" t="s">
        <v>49</v>
      </c>
      <c r="E33" s="609"/>
      <c r="F33" s="246" t="str">
        <f>VLOOKUP($B33,Activities!$A$10:$P$152,4,FALSE)</f>
        <v>m3</v>
      </c>
      <c r="G33" s="313" t="s">
        <v>51</v>
      </c>
      <c r="H33" s="167" t="s">
        <v>264</v>
      </c>
      <c r="I33" s="272">
        <f>VLOOKUP(H33,U3:V7,2)</f>
        <v>0</v>
      </c>
      <c r="J33" s="269"/>
      <c r="K33" s="388">
        <f>IF(D33="Y",IF(J33="",I33*E33,J33*E33),"")</f>
        <v>0</v>
      </c>
      <c r="L33" s="248" t="str">
        <f>IFERROR(IF(D33="Y",K33/$K$55,0%),"0.0%")</f>
        <v>0.0%</v>
      </c>
      <c r="M33" s="290" t="str">
        <f>VLOOKUP($B33,Activities!$A$10:$S$152,19,FALSE)</f>
        <v>This activity involves loading into a truck of material previously mined, processed material or topsoil, and hauling a selected distance.</v>
      </c>
    </row>
    <row r="34" spans="1:13" ht="51" customHeight="1" thickBot="1" x14ac:dyDescent="0.3">
      <c r="A34" s="1334"/>
      <c r="B34" s="245" t="s">
        <v>17</v>
      </c>
      <c r="C34" s="259" t="str">
        <f>VLOOKUP($B34,Activities!$A$10:$P$152,3,FALSE)</f>
        <v xml:space="preserve">Excavation of earthen materials from local borrow pits, plus haulage </v>
      </c>
      <c r="D34" s="239" t="s">
        <v>49</v>
      </c>
      <c r="E34" s="609"/>
      <c r="F34" s="246" t="str">
        <f>VLOOKUP($B34,Activities!$A$10:$P$152,4,FALSE)</f>
        <v>m3</v>
      </c>
      <c r="G34" s="313" t="s">
        <v>51</v>
      </c>
      <c r="H34" s="167" t="s">
        <v>264</v>
      </c>
      <c r="I34" s="272">
        <f>VLOOKUP(H34,U10:V14,2)</f>
        <v>0</v>
      </c>
      <c r="J34" s="269"/>
      <c r="K34" s="388">
        <f>IF(D34="Y",IF(J34="",I34*E34,J34*E34),"")</f>
        <v>0</v>
      </c>
      <c r="L34" s="248" t="str">
        <f>IFERROR(IF(D34="Y",K34/$K$55,0%),"0.0%")</f>
        <v>0.0%</v>
      </c>
      <c r="M34" s="290" t="str">
        <f>VLOOKUP($B34,Activities!$A$10:$S$152,19,FALSE)</f>
        <v>This activity involves the excavation of earthern material from a local borrow pit and the loading of that material into a truck.  Haulage cost based on distance hauled.</v>
      </c>
    </row>
    <row r="35" spans="1:13" ht="53.25" customHeight="1" thickBot="1" x14ac:dyDescent="0.3">
      <c r="A35" s="1334"/>
      <c r="B35" s="245" t="s">
        <v>18</v>
      </c>
      <c r="C35" s="259" t="str">
        <f>VLOOKUP($B35,Activities!$A$10:$P$152,3,FALSE)</f>
        <v>Spreading Materials on ground or an open area excluding compaction (&gt;1,000m3)</v>
      </c>
      <c r="D35" s="239" t="s">
        <v>49</v>
      </c>
      <c r="E35" s="608"/>
      <c r="F35" s="246" t="str">
        <f>VLOOKUP($B35,Activities!$A$10:$P$152,4,FALSE)</f>
        <v>m3</v>
      </c>
      <c r="G35" s="1269"/>
      <c r="H35" s="1270"/>
      <c r="I35" s="273">
        <f>VLOOKUP($B35,Activities!$A$10:$S$152,16,FALSE)</f>
        <v>1.0890037105820705</v>
      </c>
      <c r="J35" s="269"/>
      <c r="K35" s="388">
        <f t="shared" ref="K35" si="7">IF(D35="Y",IF(J35="",I35*E35,J35*E35),0)</f>
        <v>0</v>
      </c>
      <c r="L35" s="248" t="str">
        <f t="shared" ref="L35" si="8">IFERROR(IF(D35="Y",K35/$K$59,0%),"0.0%")</f>
        <v>0.0%</v>
      </c>
      <c r="M35" s="290" t="str">
        <f>VLOOKUP($B35,Activities!$A$10:$S$152,19,FALSE)</f>
        <v xml:space="preserve">This activity involves the spreading of material that has been transported and dumped at the work area. </v>
      </c>
    </row>
    <row r="36" spans="1:13" ht="15.75" thickBot="1" x14ac:dyDescent="0.3">
      <c r="A36" s="293" t="s">
        <v>53</v>
      </c>
      <c r="B36" s="345" t="str">
        <f>A31</f>
        <v>Primary Earthworks and Construction of the Cover for the Tailing Facility</v>
      </c>
      <c r="C36" s="251"/>
      <c r="D36" s="252"/>
      <c r="E36" s="253"/>
      <c r="F36" s="252"/>
      <c r="G36" s="252"/>
      <c r="H36" s="252"/>
      <c r="I36" s="254"/>
      <c r="J36" s="255"/>
      <c r="K36" s="256">
        <f>SUM(K31:K35)</f>
        <v>0</v>
      </c>
      <c r="L36" s="252"/>
      <c r="M36" s="257"/>
    </row>
    <row r="37" spans="1:13" ht="42.75" thickBot="1" x14ac:dyDescent="0.3">
      <c r="A37" s="1333" t="s">
        <v>69</v>
      </c>
      <c r="B37" s="245" t="s">
        <v>70</v>
      </c>
      <c r="C37" s="259" t="str">
        <f>VLOOKUP($B37,Activities!$A$10:$P$152,3,FALSE)</f>
        <v>Sourcing, Carting and Spreading of Topsoil over an Area</v>
      </c>
      <c r="D37" s="239" t="s">
        <v>49</v>
      </c>
      <c r="E37" s="346"/>
      <c r="F37" s="246" t="str">
        <f>VLOOKUP($B37,Activities!$A$10:$P$152,4,FALSE)</f>
        <v>m3</v>
      </c>
      <c r="G37" s="315"/>
      <c r="H37" s="167" t="s">
        <v>264</v>
      </c>
      <c r="I37" s="272">
        <f>VLOOKUP(H37,U18:V22,2)</f>
        <v>0</v>
      </c>
      <c r="J37" s="269"/>
      <c r="K37" s="388">
        <f>IF(D37="Y",IF(J37="",I37*E37,J37*E37),"")</f>
        <v>0</v>
      </c>
      <c r="L37" s="248" t="str">
        <f>IFERROR(IF(D37="Y",K37/$K$55,0%),"0.0%")</f>
        <v>0.0%</v>
      </c>
      <c r="M37" s="290" t="str">
        <f>VLOOKUP($B37,Activities!$A$10:$S$152,19,FALSE)</f>
        <v>This activity covers the sourcing of topsoil or suitable growth medium, transporting from the source to the required area and then spreading it over that area.</v>
      </c>
    </row>
    <row r="38" spans="1:13" ht="46.5" customHeight="1" thickBot="1" x14ac:dyDescent="0.3">
      <c r="A38" s="1334"/>
      <c r="B38" s="245" t="s">
        <v>21</v>
      </c>
      <c r="C38" s="259" t="str">
        <f>VLOOKUP($B38,Activities!$A$10:$P$152,3,FALSE)</f>
        <v>Scarification to promote vegetation growth</v>
      </c>
      <c r="D38" s="239" t="s">
        <v>49</v>
      </c>
      <c r="E38" s="240"/>
      <c r="F38" s="246" t="str">
        <f>VLOOKUP($B38,Activities!$A$10:$P$152,4,FALSE)</f>
        <v>Ha</v>
      </c>
      <c r="G38" s="1269"/>
      <c r="H38" s="1270"/>
      <c r="I38" s="273">
        <f>VLOOKUP($B38,Activities!$A$10:$S$152,16,FALSE)</f>
        <v>323.54530924221694</v>
      </c>
      <c r="J38" s="269"/>
      <c r="K38" s="388">
        <f t="shared" ref="K38:K48" si="9">IF(D38="Y",IF(J38="",I38*E38,J38*E38),0)</f>
        <v>0</v>
      </c>
      <c r="L38" s="248" t="str">
        <f t="shared" ref="L38:L48" si="10">IFERROR(IF(D38="Y",K38/$K$59,0%),"0.0%")</f>
        <v>0.0%</v>
      </c>
      <c r="M38" s="290" t="str">
        <f>VLOOKUP($B38,Activities!$A$10:$S$152,19,FALSE)</f>
        <v xml:space="preserve">This activity is undertaken in preparation for the seeding of a particular area.  </v>
      </c>
    </row>
    <row r="39" spans="1:13" ht="46.5" customHeight="1" thickBot="1" x14ac:dyDescent="0.3">
      <c r="A39" s="1334"/>
      <c r="B39" s="245" t="s">
        <v>626</v>
      </c>
      <c r="C39" s="259" t="str">
        <f>VLOOKUP($B39,Activities!$A$10:$P$152,3,FALSE)</f>
        <v>Purchase and single application of ground ameliorants (e.g. gypsum)</v>
      </c>
      <c r="D39" s="239" t="s">
        <v>49</v>
      </c>
      <c r="E39" s="240"/>
      <c r="F39" s="246" t="str">
        <f>VLOOKUP($B39,Activities!$A$10:$P$152,4,FALSE)</f>
        <v>Ha</v>
      </c>
      <c r="G39" s="1269"/>
      <c r="H39" s="1270"/>
      <c r="I39" s="273">
        <f>VLOOKUP($B39,Activities!$A$10:$S$152,16,FALSE)</f>
        <v>877.38983538153695</v>
      </c>
      <c r="J39" s="269"/>
      <c r="K39" s="388">
        <f t="shared" si="9"/>
        <v>0</v>
      </c>
      <c r="L39" s="248" t="str">
        <f t="shared" si="10"/>
        <v>0.0%</v>
      </c>
      <c r="M39" s="290" t="str">
        <f>VLOOKUP($B39,Activities!$A$10:$S$152,19,FALSE)</f>
        <v>This Activity includes the purchase and single application of ground ameliorants (e.g. gypsum).</v>
      </c>
    </row>
    <row r="40" spans="1:13" ht="46.5" customHeight="1" thickBot="1" x14ac:dyDescent="0.3">
      <c r="A40" s="1334"/>
      <c r="B40" s="245" t="s">
        <v>627</v>
      </c>
      <c r="C40" s="259" t="str">
        <f>VLOOKUP($B40,Activities!$A$10:$P$152,3,FALSE)</f>
        <v>The purchase only of non-native pasture grasses</v>
      </c>
      <c r="D40" s="239" t="s">
        <v>49</v>
      </c>
      <c r="E40" s="240"/>
      <c r="F40" s="246" t="str">
        <f>VLOOKUP($B40,Activities!$A$10:$P$152,4,FALSE)</f>
        <v>Ha</v>
      </c>
      <c r="G40" s="1269"/>
      <c r="H40" s="1270"/>
      <c r="I40" s="273">
        <f>VLOOKUP($B40,Activities!$A$10:$S$152,16,FALSE)</f>
        <v>1774.5180283018869</v>
      </c>
      <c r="J40" s="269"/>
      <c r="K40" s="388">
        <f t="shared" si="9"/>
        <v>0</v>
      </c>
      <c r="L40" s="248" t="str">
        <f t="shared" si="10"/>
        <v>0.0%</v>
      </c>
      <c r="M40" s="290" t="str">
        <f>VLOOKUP($B40,Activities!$A$10:$S$152,19,FALSE)</f>
        <v>This activity covers the purchase of non-native pasture grasses</v>
      </c>
    </row>
    <row r="41" spans="1:13" ht="46.5" customHeight="1" thickBot="1" x14ac:dyDescent="0.3">
      <c r="A41" s="1334"/>
      <c r="B41" s="245" t="s">
        <v>628</v>
      </c>
      <c r="C41" s="259" t="str">
        <f>VLOOKUP($B41,Activities!$A$10:$P$152,3,FALSE)</f>
        <v>The purchase only of general native seed mix</v>
      </c>
      <c r="D41" s="239" t="s">
        <v>49</v>
      </c>
      <c r="E41" s="240"/>
      <c r="F41" s="246" t="str">
        <f>VLOOKUP($B41,Activities!$A$10:$P$152,4,FALSE)</f>
        <v>Ha</v>
      </c>
      <c r="G41" s="1269"/>
      <c r="H41" s="1270"/>
      <c r="I41" s="273">
        <f>VLOOKUP($B41,Activities!$A$10:$S$152,16,FALSE)</f>
        <v>3439.8717452830197</v>
      </c>
      <c r="J41" s="269"/>
      <c r="K41" s="388">
        <f t="shared" si="9"/>
        <v>0</v>
      </c>
      <c r="L41" s="248" t="str">
        <f t="shared" si="10"/>
        <v>0.0%</v>
      </c>
      <c r="M41" s="290" t="str">
        <f>VLOOKUP($B41,Activities!$A$10:$S$152,19,FALSE)</f>
        <v>This activity covers the purchase of general native seed mix</v>
      </c>
    </row>
    <row r="42" spans="1:13" ht="46.5" customHeight="1" thickBot="1" x14ac:dyDescent="0.3">
      <c r="A42" s="1334"/>
      <c r="B42" s="245" t="s">
        <v>629</v>
      </c>
      <c r="C42" s="259" t="str">
        <f>VLOOKUP($B42,Activities!$A$10:$P$152,3,FALSE)</f>
        <v>The purchase only of local provenance native seed mix</v>
      </c>
      <c r="D42" s="239" t="s">
        <v>49</v>
      </c>
      <c r="E42" s="240"/>
      <c r="F42" s="246" t="str">
        <f>VLOOKUP($B42,Activities!$A$10:$P$152,4,FALSE)</f>
        <v>Ha</v>
      </c>
      <c r="G42" s="1269"/>
      <c r="H42" s="1270"/>
      <c r="I42" s="273">
        <f>VLOOKUP($B42,Activities!$A$10:$S$152,16,FALSE)</f>
        <v>10525.680933962265</v>
      </c>
      <c r="J42" s="269"/>
      <c r="K42" s="388">
        <f t="shared" si="9"/>
        <v>0</v>
      </c>
      <c r="L42" s="248" t="str">
        <f t="shared" si="10"/>
        <v>0.0%</v>
      </c>
      <c r="M42" s="290" t="str">
        <f>VLOOKUP($B42,Activities!$A$10:$S$152,19,FALSE)</f>
        <v>This activity covers the purchase of local provenance native seed mix</v>
      </c>
    </row>
    <row r="43" spans="1:13" ht="46.5" customHeight="1" thickBot="1" x14ac:dyDescent="0.3">
      <c r="A43" s="1334"/>
      <c r="B43" s="245" t="s">
        <v>630</v>
      </c>
      <c r="C43" s="259" t="str">
        <f>VLOOKUP($B43,Activities!$A$10:$P$152,3,FALSE)</f>
        <v>The purchase only of fertiliser for broadcast application</v>
      </c>
      <c r="D43" s="239" t="s">
        <v>49</v>
      </c>
      <c r="E43" s="240"/>
      <c r="F43" s="246" t="str">
        <f>VLOOKUP($B43,Activities!$A$10:$P$152,4,FALSE)</f>
        <v>Ha</v>
      </c>
      <c r="G43" s="1269"/>
      <c r="H43" s="1270"/>
      <c r="I43" s="273">
        <f>VLOOKUP($B43,Activities!$A$10:$S$152,16,FALSE)</f>
        <v>613.30500000000006</v>
      </c>
      <c r="J43" s="269"/>
      <c r="K43" s="388">
        <f t="shared" si="9"/>
        <v>0</v>
      </c>
      <c r="L43" s="248" t="str">
        <f t="shared" si="10"/>
        <v>0.0%</v>
      </c>
      <c r="M43" s="290" t="str">
        <f>VLOOKUP($B43,Activities!$A$10:$S$152,19,FALSE)</f>
        <v>This activity covers the purchase of local fertiliser for broadcast application.  It does not inlcude the application.</v>
      </c>
    </row>
    <row r="44" spans="1:13" ht="46.5" customHeight="1" thickBot="1" x14ac:dyDescent="0.3">
      <c r="A44" s="1334"/>
      <c r="B44" s="245" t="s">
        <v>631</v>
      </c>
      <c r="C44" s="259" t="str">
        <f>VLOOKUP($B44,Activities!$A$10:$P$152,3,FALSE)</f>
        <v>The purchase of native tubestock (including slow release fertiliser)</v>
      </c>
      <c r="D44" s="239" t="s">
        <v>49</v>
      </c>
      <c r="E44" s="240"/>
      <c r="F44" s="246" t="str">
        <f>VLOOKUP($B44,Activities!$A$10:$P$152,4,FALSE)</f>
        <v>Ha</v>
      </c>
      <c r="G44" s="1269"/>
      <c r="H44" s="1270"/>
      <c r="I44" s="273">
        <f>VLOOKUP($B44,Activities!$A$10:$S$152,16,FALSE)</f>
        <v>19729.952830188682</v>
      </c>
      <c r="J44" s="269"/>
      <c r="K44" s="388">
        <f t="shared" si="9"/>
        <v>0</v>
      </c>
      <c r="L44" s="248" t="str">
        <f t="shared" si="10"/>
        <v>0.0%</v>
      </c>
      <c r="M44" s="290" t="str">
        <f>VLOOKUP($B44,Activities!$A$10:$S$152,19,FALSE)</f>
        <v>The Activity includes the purchase of native tubestock (including slow release fertiliser).  It does not include planting.</v>
      </c>
    </row>
    <row r="45" spans="1:13" ht="46.5" customHeight="1" thickBot="1" x14ac:dyDescent="0.3">
      <c r="A45" s="1334"/>
      <c r="B45" s="245" t="s">
        <v>632</v>
      </c>
      <c r="C45" s="259" t="str">
        <f>VLOOKUP($B45,Activities!$A$10:$P$152,3,FALSE)</f>
        <v>Direct seeding along rip line or mechanical broadcast seeding</v>
      </c>
      <c r="D45" s="239" t="s">
        <v>49</v>
      </c>
      <c r="E45" s="240"/>
      <c r="F45" s="246" t="str">
        <f>VLOOKUP($B45,Activities!$A$10:$P$152,4,FALSE)</f>
        <v>Ha</v>
      </c>
      <c r="G45" s="1269"/>
      <c r="H45" s="1270"/>
      <c r="I45" s="273">
        <f>VLOOKUP($B45,Activities!$A$10:$S$152,16,FALSE)</f>
        <v>2100.7838269402318</v>
      </c>
      <c r="J45" s="269"/>
      <c r="K45" s="388">
        <f t="shared" si="9"/>
        <v>0</v>
      </c>
      <c r="L45" s="248" t="str">
        <f t="shared" si="10"/>
        <v>0.0%</v>
      </c>
      <c r="M45" s="290" t="str">
        <f>VLOOKUP($B45,Activities!$A$10:$S$152,19,FALSE)</f>
        <v>Sowing of separately purchased seed and or fertiliser for broadcast application that involves scattering seed, by hand or mechanically, over a relatively large area.</v>
      </c>
    </row>
    <row r="46" spans="1:13" ht="46.5" customHeight="1" thickBot="1" x14ac:dyDescent="0.3">
      <c r="A46" s="1334"/>
      <c r="B46" s="245" t="s">
        <v>633</v>
      </c>
      <c r="C46" s="259" t="str">
        <f>VLOOKUP($B46,Activities!$A$10:$P$152,3,FALSE)</f>
        <v>Hydromulching (does not include seed or fertiliser)</v>
      </c>
      <c r="D46" s="239" t="s">
        <v>49</v>
      </c>
      <c r="E46" s="240"/>
      <c r="F46" s="246" t="str">
        <f>VLOOKUP($B46,Activities!$A$10:$P$152,4,FALSE)</f>
        <v>Ha</v>
      </c>
      <c r="G46" s="1269"/>
      <c r="H46" s="1270"/>
      <c r="I46" s="273">
        <f>VLOOKUP($B46,Activities!$A$10:$S$152,16,FALSE)</f>
        <v>1583.2664818030244</v>
      </c>
      <c r="J46" s="269"/>
      <c r="K46" s="388">
        <f t="shared" si="9"/>
        <v>0</v>
      </c>
      <c r="L46" s="248" t="str">
        <f t="shared" si="10"/>
        <v>0.0%</v>
      </c>
      <c r="M46" s="290" t="str">
        <f>VLOOKUP($B46,Activities!$A$10:$S$152,19,FALSE)</f>
        <v>Hydromulching planting process that uses a slurry of seed and mulch. It is often used as an erosion control technique as an alternative to the traditional process of broadcasting or sowing dry seed.</v>
      </c>
    </row>
    <row r="47" spans="1:13" ht="46.5" customHeight="1" thickBot="1" x14ac:dyDescent="0.3">
      <c r="A47" s="1334"/>
      <c r="B47" s="245" t="s">
        <v>717</v>
      </c>
      <c r="C47" s="259" t="str">
        <f>VLOOKUP($B47,Activities!$A$10:$P$152,3,FALSE)</f>
        <v>Planting of tubestock &lt;15cm (assumes 1,000 plants per hectare)</v>
      </c>
      <c r="D47" s="239" t="s">
        <v>49</v>
      </c>
      <c r="E47" s="240"/>
      <c r="F47" s="246" t="str">
        <f>VLOOKUP($B47,Activities!$A$10:$P$152,4,FALSE)</f>
        <v>Ha</v>
      </c>
      <c r="G47" s="1269"/>
      <c r="H47" s="1270"/>
      <c r="I47" s="273">
        <f>VLOOKUP($B47,Activities!$A$10:$S$152,16,FALSE)</f>
        <v>1714.118869047619</v>
      </c>
      <c r="J47" s="269"/>
      <c r="K47" s="388">
        <f t="shared" si="9"/>
        <v>0</v>
      </c>
      <c r="L47" s="248" t="str">
        <f t="shared" si="10"/>
        <v>0.0%</v>
      </c>
      <c r="M47" s="290" t="str">
        <f>VLOOKUP($B47,Activities!$A$10:$S$152,19,FALSE)</f>
        <v>This Activity covers the hand planting of tubestock plants across a broad area.</v>
      </c>
    </row>
    <row r="48" spans="1:13" ht="61.5" customHeight="1" thickBot="1" x14ac:dyDescent="0.3">
      <c r="A48" s="1335"/>
      <c r="B48" s="245" t="s">
        <v>25</v>
      </c>
      <c r="C48" s="259" t="str">
        <f>VLOOKUP($B48,Activities!$A$10:$P$152,3,FALSE)</f>
        <v xml:space="preserve">Construction of a stock proof fence including appropriate gates </v>
      </c>
      <c r="D48" s="239" t="s">
        <v>49</v>
      </c>
      <c r="E48" s="240"/>
      <c r="F48" s="246" t="str">
        <f>VLOOKUP($B48,Activities!$A$10:$P$152,4,FALSE)</f>
        <v>km</v>
      </c>
      <c r="G48" s="1269"/>
      <c r="H48" s="1270"/>
      <c r="I48" s="273">
        <f>VLOOKUP($B48,Activities!$A$10:$S$152,16,FALSE)</f>
        <v>13302.992584007126</v>
      </c>
      <c r="J48" s="269"/>
      <c r="K48" s="388">
        <f t="shared" si="9"/>
        <v>0</v>
      </c>
      <c r="L48" s="248" t="str">
        <f t="shared" si="10"/>
        <v>0.0%</v>
      </c>
      <c r="M48" s="290" t="str">
        <f>VLOOKUP($B48,Activities!$A$10:$S$152,19,FALSE)</f>
        <v>This activity involves the construction of a stock proof fence to protect revegetation against stock and to provide an obstacle to persons to prevent inadvertant access.  It is not designed to prevent a person climbing over it.  It includes an allowance for gates.</v>
      </c>
    </row>
    <row r="49" spans="1:13" ht="15.75" thickBot="1" x14ac:dyDescent="0.3">
      <c r="A49" s="293" t="s">
        <v>53</v>
      </c>
      <c r="B49" s="345" t="str">
        <f>A37</f>
        <v>Topsoil Preparation and Revegetation of Tailings Area</v>
      </c>
      <c r="C49" s="251"/>
      <c r="D49" s="252"/>
      <c r="E49" s="253"/>
      <c r="F49" s="252"/>
      <c r="G49" s="252"/>
      <c r="H49" s="252"/>
      <c r="I49" s="254"/>
      <c r="J49" s="255"/>
      <c r="K49" s="256">
        <f>SUM(K37:K48)</f>
        <v>0</v>
      </c>
      <c r="L49" s="252"/>
      <c r="M49" s="257"/>
    </row>
    <row r="50" spans="1:13" ht="51" customHeight="1" thickBot="1" x14ac:dyDescent="0.3">
      <c r="A50" s="1333" t="s">
        <v>65</v>
      </c>
      <c r="B50" s="270"/>
      <c r="C50" s="218" t="s">
        <v>55</v>
      </c>
      <c r="D50" s="239" t="s">
        <v>49</v>
      </c>
      <c r="E50" s="346"/>
      <c r="F50" s="296"/>
      <c r="G50" s="1372"/>
      <c r="H50" s="1373"/>
      <c r="I50" s="355" t="s">
        <v>475</v>
      </c>
      <c r="J50" s="269"/>
      <c r="K50" s="388">
        <f>IF(D50="Y",J50*E50,"")</f>
        <v>0</v>
      </c>
      <c r="L50" s="248" t="str">
        <f>IFERROR(IF(D50="Y",K50/$K$55,0%),"0.0%")</f>
        <v>0.0%</v>
      </c>
      <c r="M50" s="139" t="s">
        <v>56</v>
      </c>
    </row>
    <row r="51" spans="1:13" ht="51" customHeight="1" thickBot="1" x14ac:dyDescent="0.3">
      <c r="A51" s="1334"/>
      <c r="B51" s="270"/>
      <c r="C51" s="218" t="s">
        <v>55</v>
      </c>
      <c r="D51" s="239" t="s">
        <v>49</v>
      </c>
      <c r="E51" s="346"/>
      <c r="F51" s="296"/>
      <c r="G51" s="1372"/>
      <c r="H51" s="1373"/>
      <c r="I51" s="355" t="s">
        <v>475</v>
      </c>
      <c r="J51" s="269"/>
      <c r="K51" s="388">
        <f>IF(D51="Y",J51*E51,"")</f>
        <v>0</v>
      </c>
      <c r="L51" s="248" t="str">
        <f>IFERROR(IF(D51="Y",K51/$K$55,0%),"0.0%")</f>
        <v>0.0%</v>
      </c>
      <c r="M51" s="139" t="s">
        <v>56</v>
      </c>
    </row>
    <row r="52" spans="1:13" ht="51" customHeight="1" thickBot="1" x14ac:dyDescent="0.3">
      <c r="A52" s="1335"/>
      <c r="B52" s="270"/>
      <c r="C52" s="218" t="s">
        <v>55</v>
      </c>
      <c r="D52" s="239" t="s">
        <v>49</v>
      </c>
      <c r="E52" s="346"/>
      <c r="F52" s="296"/>
      <c r="G52" s="1372"/>
      <c r="H52" s="1373"/>
      <c r="I52" s="355" t="s">
        <v>475</v>
      </c>
      <c r="J52" s="269"/>
      <c r="K52" s="388">
        <f>IF(D52="Y",J52*E52,"")</f>
        <v>0</v>
      </c>
      <c r="L52" s="248" t="str">
        <f>IFERROR(IF(D52="Y",K52/$K$55,0%),"0.0%")</f>
        <v>0.0%</v>
      </c>
      <c r="M52" s="139" t="s">
        <v>56</v>
      </c>
    </row>
    <row r="53" spans="1:13" ht="15.75" thickBot="1" x14ac:dyDescent="0.3">
      <c r="A53" s="293" t="s">
        <v>53</v>
      </c>
      <c r="B53" s="345" t="str">
        <f>A50</f>
        <v>Other Activity in Tailings Area Specific to this Operation</v>
      </c>
      <c r="C53" s="251"/>
      <c r="D53" s="252"/>
      <c r="E53" s="253"/>
      <c r="F53" s="252"/>
      <c r="G53" s="252"/>
      <c r="H53" s="252"/>
      <c r="I53" s="254"/>
      <c r="J53" s="255"/>
      <c r="K53" s="256">
        <f>SUM(K50:K52)</f>
        <v>0</v>
      </c>
      <c r="L53" s="252"/>
      <c r="M53" s="257"/>
    </row>
    <row r="54" spans="1:13" x14ac:dyDescent="0.25">
      <c r="A54" s="260"/>
      <c r="B54" s="260"/>
      <c r="C54" s="261"/>
      <c r="D54" s="262"/>
      <c r="E54" s="263"/>
      <c r="F54" s="262"/>
      <c r="G54" s="262"/>
      <c r="H54" s="262"/>
      <c r="I54" s="264"/>
      <c r="J54" s="265"/>
      <c r="K54" s="266"/>
      <c r="L54" s="262"/>
      <c r="M54" s="261"/>
    </row>
    <row r="55" spans="1:13" ht="21" x14ac:dyDescent="0.25">
      <c r="A55" s="260"/>
      <c r="B55" s="260"/>
      <c r="C55" s="261"/>
      <c r="D55" s="262"/>
      <c r="E55" s="263"/>
      <c r="F55" s="262"/>
      <c r="G55" s="262"/>
      <c r="H55" s="262"/>
      <c r="J55" s="267" t="s">
        <v>930</v>
      </c>
      <c r="K55" s="268">
        <f>K53+K49+K36+K30+K27</f>
        <v>0</v>
      </c>
      <c r="L55" s="262"/>
      <c r="M55" s="261"/>
    </row>
    <row r="56" spans="1:13" x14ac:dyDescent="0.25">
      <c r="A56" s="260"/>
      <c r="B56" s="260"/>
      <c r="C56" s="261"/>
      <c r="D56" s="262"/>
      <c r="E56" s="263"/>
      <c r="F56" s="262"/>
      <c r="G56" s="262"/>
      <c r="H56" s="262"/>
      <c r="I56" s="264"/>
      <c r="J56" s="265"/>
      <c r="K56" s="266"/>
      <c r="L56" s="262"/>
      <c r="M56" s="261"/>
    </row>
    <row r="57" spans="1:13" x14ac:dyDescent="0.25">
      <c r="A57" s="260"/>
      <c r="B57" s="260"/>
      <c r="C57" s="261"/>
      <c r="D57" s="262"/>
      <c r="E57" s="263"/>
      <c r="F57" s="262"/>
      <c r="G57" s="262"/>
      <c r="H57" s="262"/>
      <c r="I57" s="264"/>
      <c r="J57" s="265"/>
      <c r="K57" s="266"/>
      <c r="L57" s="262"/>
      <c r="M57" s="261"/>
    </row>
    <row r="58" spans="1:13" x14ac:dyDescent="0.25">
      <c r="A58" s="260"/>
      <c r="B58" s="260"/>
      <c r="C58" s="261"/>
      <c r="D58" s="262"/>
      <c r="E58" s="263"/>
      <c r="F58" s="262"/>
      <c r="G58" s="262"/>
      <c r="H58" s="262"/>
      <c r="I58" s="264"/>
      <c r="J58" s="265"/>
      <c r="K58" s="266"/>
      <c r="L58" s="262"/>
      <c r="M58" s="261"/>
    </row>
    <row r="59" spans="1:13" x14ac:dyDescent="0.25">
      <c r="A59" s="260"/>
      <c r="B59" s="260"/>
      <c r="C59" s="261"/>
      <c r="D59" s="262"/>
      <c r="E59" s="263"/>
      <c r="F59" s="262"/>
      <c r="G59" s="262"/>
      <c r="H59" s="262"/>
      <c r="I59" s="264"/>
      <c r="J59" s="265"/>
      <c r="K59" s="266"/>
      <c r="L59" s="262"/>
      <c r="M59" s="261"/>
    </row>
    <row r="60" spans="1:13" ht="15.75" x14ac:dyDescent="0.25">
      <c r="A60" s="260"/>
      <c r="B60" s="260"/>
      <c r="C60" s="261"/>
      <c r="D60" s="262"/>
      <c r="E60" s="303"/>
      <c r="F60" s="262"/>
      <c r="G60" s="262"/>
      <c r="H60" s="262"/>
      <c r="I60" s="264"/>
      <c r="J60" s="265"/>
      <c r="K60" s="266"/>
      <c r="L60" s="262"/>
      <c r="M60" s="261"/>
    </row>
    <row r="61" spans="1:13" x14ac:dyDescent="0.25">
      <c r="A61" s="260"/>
      <c r="B61" s="260"/>
      <c r="C61" s="261"/>
      <c r="D61" s="262"/>
      <c r="E61" s="263"/>
      <c r="F61" s="262"/>
      <c r="G61" s="262"/>
      <c r="H61" s="262"/>
      <c r="I61" s="264"/>
      <c r="J61" s="265"/>
      <c r="K61" s="266"/>
      <c r="L61" s="262"/>
      <c r="M61" s="261"/>
    </row>
    <row r="62" spans="1:13" x14ac:dyDescent="0.25">
      <c r="A62" s="260"/>
      <c r="B62" s="260"/>
      <c r="C62" s="261"/>
      <c r="D62" s="262"/>
      <c r="E62" s="263"/>
      <c r="F62" s="262"/>
      <c r="G62" s="262"/>
      <c r="H62" s="262"/>
      <c r="I62" s="264"/>
      <c r="J62" s="265"/>
      <c r="K62" s="266"/>
      <c r="L62" s="262"/>
      <c r="M62" s="261"/>
    </row>
    <row r="63" spans="1:13" x14ac:dyDescent="0.25">
      <c r="A63" s="260"/>
      <c r="B63" s="260"/>
      <c r="C63" s="261"/>
      <c r="D63" s="262"/>
      <c r="E63" s="263"/>
      <c r="F63" s="262"/>
      <c r="G63" s="262"/>
      <c r="H63" s="262"/>
      <c r="I63" s="264"/>
      <c r="J63" s="265"/>
      <c r="K63" s="266"/>
      <c r="L63" s="262"/>
      <c r="M63" s="261"/>
    </row>
    <row r="64" spans="1:13" x14ac:dyDescent="0.25">
      <c r="A64" s="260"/>
      <c r="B64" s="260"/>
      <c r="C64" s="261"/>
      <c r="D64" s="262"/>
      <c r="E64" s="263"/>
      <c r="F64" s="262"/>
      <c r="G64" s="262"/>
      <c r="H64" s="262"/>
      <c r="I64" s="264"/>
      <c r="J64" s="265"/>
      <c r="K64" s="266"/>
      <c r="L64" s="262"/>
      <c r="M64" s="261"/>
    </row>
    <row r="65" spans="1:13" x14ac:dyDescent="0.25">
      <c r="A65" s="260"/>
      <c r="B65" s="260"/>
      <c r="C65" s="261"/>
      <c r="D65" s="262"/>
      <c r="E65" s="263"/>
      <c r="F65" s="262"/>
      <c r="G65" s="262"/>
      <c r="H65" s="262"/>
      <c r="I65" s="264"/>
      <c r="J65" s="265"/>
      <c r="K65" s="266"/>
      <c r="L65" s="262"/>
      <c r="M65" s="261"/>
    </row>
    <row r="66" spans="1:13" x14ac:dyDescent="0.25">
      <c r="A66" s="260"/>
      <c r="B66" s="260"/>
      <c r="C66" s="261"/>
      <c r="D66" s="262"/>
      <c r="E66" s="263"/>
      <c r="F66" s="262"/>
      <c r="G66" s="262"/>
      <c r="H66" s="262"/>
      <c r="I66" s="264"/>
      <c r="J66" s="265"/>
      <c r="K66" s="266"/>
      <c r="L66" s="262"/>
      <c r="M66" s="261"/>
    </row>
    <row r="67" spans="1:13" x14ac:dyDescent="0.25">
      <c r="A67" s="260"/>
      <c r="B67" s="260"/>
      <c r="C67" s="261"/>
      <c r="D67" s="262"/>
      <c r="E67" s="262"/>
      <c r="F67" s="262"/>
      <c r="G67" s="262"/>
      <c r="H67" s="262"/>
      <c r="I67" s="264"/>
      <c r="J67" s="265"/>
      <c r="K67" s="266"/>
      <c r="L67" s="262"/>
      <c r="M67" s="261"/>
    </row>
    <row r="68" spans="1:13" x14ac:dyDescent="0.25">
      <c r="A68" s="260"/>
      <c r="B68" s="260"/>
      <c r="C68" s="261"/>
      <c r="D68" s="262"/>
      <c r="E68" s="262"/>
      <c r="F68" s="262"/>
      <c r="G68" s="262"/>
      <c r="H68" s="262"/>
      <c r="I68" s="264"/>
      <c r="J68" s="265"/>
      <c r="K68" s="266"/>
      <c r="L68" s="262"/>
      <c r="M68" s="261"/>
    </row>
    <row r="69" spans="1:13" x14ac:dyDescent="0.25">
      <c r="C69" s="261"/>
      <c r="D69" s="262"/>
      <c r="E69" s="262"/>
      <c r="F69" s="262"/>
      <c r="G69" s="262"/>
      <c r="H69" s="262"/>
      <c r="I69" s="264"/>
      <c r="J69" s="265"/>
      <c r="K69" s="262"/>
      <c r="L69" s="262"/>
      <c r="M69" s="261"/>
    </row>
    <row r="70" spans="1:13" x14ac:dyDescent="0.25">
      <c r="C70" s="261"/>
      <c r="D70" s="262"/>
      <c r="E70" s="262"/>
      <c r="F70" s="262"/>
      <c r="G70" s="262"/>
      <c r="H70" s="262"/>
      <c r="I70" s="264"/>
      <c r="J70" s="265"/>
      <c r="K70" s="262"/>
      <c r="L70" s="262"/>
      <c r="M70" s="261"/>
    </row>
    <row r="71" spans="1:13" x14ac:dyDescent="0.25">
      <c r="C71" s="261"/>
      <c r="D71" s="262"/>
      <c r="E71" s="262"/>
      <c r="F71" s="262"/>
      <c r="G71" s="262"/>
      <c r="H71" s="262"/>
      <c r="I71" s="262"/>
      <c r="J71" s="262"/>
      <c r="K71" s="262"/>
      <c r="L71" s="262"/>
      <c r="M71" s="261"/>
    </row>
    <row r="72" spans="1:13" x14ac:dyDescent="0.25">
      <c r="D72" s="262"/>
      <c r="E72" s="262"/>
      <c r="F72" s="262"/>
      <c r="G72" s="262"/>
      <c r="H72" s="262"/>
      <c r="I72" s="262"/>
      <c r="J72" s="262"/>
      <c r="K72" s="262"/>
      <c r="L72" s="262"/>
    </row>
    <row r="73" spans="1:13" x14ac:dyDescent="0.25">
      <c r="D73" s="262"/>
      <c r="E73" s="262"/>
      <c r="F73" s="262"/>
      <c r="G73" s="262"/>
      <c r="H73" s="262"/>
      <c r="I73" s="262"/>
      <c r="J73" s="262"/>
      <c r="K73" s="262"/>
      <c r="L73" s="262"/>
    </row>
    <row r="74" spans="1:13" x14ac:dyDescent="0.25">
      <c r="D74" s="262"/>
      <c r="E74" s="262"/>
      <c r="F74" s="262"/>
      <c r="G74" s="262"/>
      <c r="H74" s="262"/>
      <c r="I74" s="262"/>
      <c r="J74" s="262"/>
      <c r="K74" s="262"/>
      <c r="L74" s="262"/>
    </row>
    <row r="75" spans="1:13" x14ac:dyDescent="0.25">
      <c r="D75" s="262"/>
      <c r="E75" s="262"/>
      <c r="F75" s="262"/>
      <c r="G75" s="262"/>
      <c r="H75" s="262"/>
      <c r="I75" s="262"/>
      <c r="J75" s="262"/>
      <c r="K75" s="262"/>
      <c r="L75" s="262"/>
    </row>
    <row r="76" spans="1:13" x14ac:dyDescent="0.25">
      <c r="D76" s="262"/>
      <c r="E76" s="262"/>
      <c r="F76" s="262"/>
      <c r="G76" s="262"/>
      <c r="H76" s="262"/>
      <c r="I76" s="262"/>
      <c r="J76" s="262"/>
      <c r="K76" s="262"/>
      <c r="L76" s="262"/>
    </row>
    <row r="77" spans="1:13" x14ac:dyDescent="0.25">
      <c r="D77" s="262"/>
      <c r="E77" s="262"/>
      <c r="F77" s="262"/>
      <c r="G77" s="262"/>
      <c r="H77" s="262"/>
      <c r="I77" s="262"/>
      <c r="J77" s="262"/>
      <c r="K77" s="262"/>
      <c r="L77" s="262"/>
    </row>
    <row r="78" spans="1:13" x14ac:dyDescent="0.25">
      <c r="D78" s="262"/>
      <c r="E78" s="262"/>
      <c r="F78" s="262"/>
      <c r="G78" s="262"/>
      <c r="H78" s="262"/>
      <c r="I78" s="262"/>
      <c r="J78" s="262"/>
      <c r="K78" s="262"/>
      <c r="L78" s="262"/>
    </row>
    <row r="79" spans="1:13" x14ac:dyDescent="0.25">
      <c r="D79" s="262"/>
      <c r="E79" s="262"/>
      <c r="F79" s="262"/>
      <c r="G79" s="262"/>
      <c r="H79" s="262"/>
      <c r="I79" s="262"/>
      <c r="J79" s="262"/>
      <c r="K79" s="262"/>
      <c r="L79" s="262"/>
    </row>
    <row r="80" spans="1:13" x14ac:dyDescent="0.25">
      <c r="D80" s="262"/>
      <c r="E80" s="262"/>
      <c r="F80" s="262"/>
      <c r="G80" s="262"/>
      <c r="H80" s="262"/>
      <c r="I80" s="262"/>
      <c r="J80" s="262"/>
      <c r="K80" s="262"/>
      <c r="L80" s="262"/>
    </row>
    <row r="81" spans="4:12" x14ac:dyDescent="0.25">
      <c r="D81" s="262"/>
      <c r="E81" s="262"/>
      <c r="F81" s="262"/>
      <c r="G81" s="262"/>
      <c r="H81" s="262"/>
      <c r="I81" s="262"/>
      <c r="J81" s="262"/>
      <c r="K81" s="262"/>
      <c r="L81" s="262"/>
    </row>
    <row r="82" spans="4:12" x14ac:dyDescent="0.25">
      <c r="D82" s="262"/>
      <c r="E82" s="262"/>
      <c r="F82" s="262"/>
      <c r="G82" s="262"/>
      <c r="H82" s="262"/>
      <c r="I82" s="262"/>
      <c r="J82" s="262"/>
      <c r="K82" s="262"/>
      <c r="L82" s="262"/>
    </row>
    <row r="83" spans="4:12" x14ac:dyDescent="0.25">
      <c r="D83" s="262"/>
      <c r="E83" s="262"/>
      <c r="F83" s="262"/>
      <c r="G83" s="262"/>
      <c r="H83" s="262"/>
      <c r="I83" s="262"/>
      <c r="J83" s="262"/>
      <c r="K83" s="262"/>
      <c r="L83" s="262"/>
    </row>
  </sheetData>
  <sheetProtection algorithmName="SHA-512" hashValue="OQh2G6LuAJkbCfKu/HzettL9G35Pc/VAxFIQ7kfpO6Bqgp5gAHuZTTzPUe7a3Cn8mOloy4dvIvT97LHy0CDMGg==" saltValue="pPgQ3iiKK+MzEgYk9NEMFg==" spinCount="100000" sheet="1" formatCells="0" formatRows="0" selectLockedCells="1"/>
  <mergeCells count="54">
    <mergeCell ref="A5:E6"/>
    <mergeCell ref="G5:J5"/>
    <mergeCell ref="G6:M7"/>
    <mergeCell ref="B7:E7"/>
    <mergeCell ref="A1:B1"/>
    <mergeCell ref="C1:E1"/>
    <mergeCell ref="K1:L1"/>
    <mergeCell ref="C2:E2"/>
    <mergeCell ref="C3:E3"/>
    <mergeCell ref="F1:J3"/>
    <mergeCell ref="B8:E8"/>
    <mergeCell ref="G8:M19"/>
    <mergeCell ref="B9:E9"/>
    <mergeCell ref="B10:E10"/>
    <mergeCell ref="B11:E11"/>
    <mergeCell ref="B12:E12"/>
    <mergeCell ref="A14:B14"/>
    <mergeCell ref="C14:E14"/>
    <mergeCell ref="A15:B15"/>
    <mergeCell ref="C15:E15"/>
    <mergeCell ref="A16:E19"/>
    <mergeCell ref="A22:A26"/>
    <mergeCell ref="G24:H24"/>
    <mergeCell ref="G26:H26"/>
    <mergeCell ref="G25:H25"/>
    <mergeCell ref="G23:H23"/>
    <mergeCell ref="A50:A52"/>
    <mergeCell ref="G50:H50"/>
    <mergeCell ref="G51:H51"/>
    <mergeCell ref="G52:H52"/>
    <mergeCell ref="A28:A29"/>
    <mergeCell ref="G28:H28"/>
    <mergeCell ref="G29:H29"/>
    <mergeCell ref="A31:A35"/>
    <mergeCell ref="G31:H31"/>
    <mergeCell ref="G35:H35"/>
    <mergeCell ref="A37:A48"/>
    <mergeCell ref="G38:H38"/>
    <mergeCell ref="G46:H46"/>
    <mergeCell ref="G47:H47"/>
    <mergeCell ref="G48:H48"/>
    <mergeCell ref="G32:H32"/>
    <mergeCell ref="G39:H39"/>
    <mergeCell ref="G40:H40"/>
    <mergeCell ref="L20:M20"/>
    <mergeCell ref="G21:H21"/>
    <mergeCell ref="R1:V1"/>
    <mergeCell ref="R8:V8"/>
    <mergeCell ref="R16:V16"/>
    <mergeCell ref="G41:H41"/>
    <mergeCell ref="G42:H42"/>
    <mergeCell ref="G43:H43"/>
    <mergeCell ref="G44:H44"/>
    <mergeCell ref="G45:H45"/>
  </mergeCells>
  <dataValidations disablePrompts="1" count="4">
    <dataValidation type="list" allowBlank="1" showInputMessage="1" showErrorMessage="1" sqref="H34" xr:uid="{00000000-0002-0000-1000-000000000000}">
      <formula1>$U$10:$U$14</formula1>
    </dataValidation>
    <dataValidation type="list" allowBlank="1" showInputMessage="1" showErrorMessage="1" sqref="H33" xr:uid="{00000000-0002-0000-1000-000001000000}">
      <formula1>$U$3:$U$7</formula1>
    </dataValidation>
    <dataValidation type="list" allowBlank="1" showInputMessage="1" showErrorMessage="1" sqref="H37" xr:uid="{00000000-0002-0000-1000-000002000000}">
      <formula1>$U$18:$U$22</formula1>
    </dataValidation>
    <dataValidation type="list" allowBlank="1" showInputMessage="1" showErrorMessage="1" sqref="H22" xr:uid="{00000000-0002-0000-1000-000003000000}">
      <formula1>$X$2:$X$6</formula1>
    </dataValidation>
  </dataValidations>
  <pageMargins left="0.70866141732283472" right="0.70866141732283472" top="0.74803149606299213" bottom="0.74803149606299213" header="0.31496062992125984" footer="0.31496062992125984"/>
  <pageSetup paperSize="9" scale="52" fitToHeight="3" orientation="landscape" r:id="rId1"/>
  <headerFooter>
    <oddHeader>&amp;LDepartment for Energy and Mining&amp;C&amp;"Arial"&amp;12&amp;KA80000 OFFICIAL&amp;1#_x000D_</oddHeader>
    <oddFooter>&amp;L&amp;Z
&amp;F&amp;C&amp;P&amp;R&amp;D</oddFooter>
  </headerFooter>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Y83"/>
  <sheetViews>
    <sheetView showGridLines="0" zoomScale="90" zoomScaleNormal="90" workbookViewId="0">
      <selection activeCell="G8" sqref="G8:M19"/>
    </sheetView>
  </sheetViews>
  <sheetFormatPr defaultColWidth="9.140625" defaultRowHeight="15" x14ac:dyDescent="0.25"/>
  <cols>
    <col min="1" max="1" width="18.5703125" style="233" customWidth="1"/>
    <col min="2" max="2" width="10.42578125" style="233" customWidth="1"/>
    <col min="3" max="3" width="38.42578125" style="233" customWidth="1"/>
    <col min="4" max="4" width="13.5703125" style="233" customWidth="1"/>
    <col min="5" max="5" width="11" style="233" customWidth="1"/>
    <col min="6" max="6" width="9.140625" style="233"/>
    <col min="7" max="7" width="21.5703125" style="233" customWidth="1"/>
    <col min="8" max="8" width="15" style="233" customWidth="1"/>
    <col min="9" max="9" width="12.28515625" style="233" customWidth="1"/>
    <col min="10" max="10" width="12.140625" style="233" customWidth="1"/>
    <col min="11" max="11" width="16.7109375" style="233" customWidth="1"/>
    <col min="12" max="12" width="13.5703125" style="233" customWidth="1"/>
    <col min="13" max="13" width="56.5703125" style="233" customWidth="1"/>
    <col min="14" max="16" width="9.140625" style="233"/>
    <col min="17" max="17" width="11.85546875" style="233" customWidth="1"/>
    <col min="18" max="18" width="9.140625" style="233"/>
    <col min="19" max="19" width="16.7109375" style="233" customWidth="1"/>
    <col min="20" max="21" width="9.140625" style="233"/>
    <col min="22" max="22" width="13.28515625" style="233" customWidth="1"/>
    <col min="23" max="23" width="9.140625" style="233"/>
    <col min="24" max="24" width="29.42578125" style="233" bestFit="1" customWidth="1"/>
    <col min="25" max="25" width="10.5703125" style="233" bestFit="1" customWidth="1"/>
    <col min="26" max="16384" width="9.140625" style="233"/>
  </cols>
  <sheetData>
    <row r="1" spans="1:25" ht="45.75" customHeight="1" x14ac:dyDescent="0.25">
      <c r="A1" s="1322" t="s">
        <v>507</v>
      </c>
      <c r="B1" s="1323"/>
      <c r="C1" s="1324" t="str">
        <f>'Summary Page'!E13</f>
        <v/>
      </c>
      <c r="D1" s="1325"/>
      <c r="E1" s="1326"/>
      <c r="F1" s="1360"/>
      <c r="G1" s="1285"/>
      <c r="H1" s="1285"/>
      <c r="I1" s="1285"/>
      <c r="J1" s="1286"/>
      <c r="K1" s="1295" t="s">
        <v>460</v>
      </c>
      <c r="L1" s="1295"/>
      <c r="M1" s="404" t="s">
        <v>873</v>
      </c>
      <c r="P1" s="525" t="str">
        <f>B33</f>
        <v>A1005</v>
      </c>
      <c r="Q1" s="535" t="s">
        <v>19</v>
      </c>
      <c r="R1" s="1273" t="s">
        <v>62</v>
      </c>
      <c r="S1" s="1274"/>
      <c r="T1" s="1274"/>
      <c r="U1" s="1274"/>
      <c r="V1" s="1275"/>
      <c r="X1" s="516" t="s">
        <v>74</v>
      </c>
      <c r="Y1" s="517" t="str">
        <f>B22</f>
        <v>A1001</v>
      </c>
    </row>
    <row r="2" spans="1:25" ht="21" x14ac:dyDescent="0.35">
      <c r="A2" s="368" t="s">
        <v>461</v>
      </c>
      <c r="B2" s="325">
        <v>6</v>
      </c>
      <c r="C2" s="1296" t="str">
        <f>'Summary Page'!E19</f>
        <v/>
      </c>
      <c r="D2" s="1297"/>
      <c r="E2" s="1348"/>
      <c r="F2" s="1287"/>
      <c r="G2" s="1288"/>
      <c r="H2" s="1288"/>
      <c r="I2" s="1288"/>
      <c r="J2" s="1289"/>
      <c r="K2" s="326"/>
      <c r="L2" s="327" t="s">
        <v>152</v>
      </c>
      <c r="M2" s="328">
        <f>K55</f>
        <v>0</v>
      </c>
      <c r="P2" s="297" t="s">
        <v>61</v>
      </c>
      <c r="Q2" s="371" t="s">
        <v>58</v>
      </c>
      <c r="R2" s="371" t="s">
        <v>59</v>
      </c>
      <c r="S2" s="371" t="s">
        <v>60</v>
      </c>
      <c r="T2" s="371" t="s">
        <v>53</v>
      </c>
      <c r="U2" s="372" t="s">
        <v>61</v>
      </c>
      <c r="V2" s="373" t="s">
        <v>53</v>
      </c>
      <c r="X2" s="41" t="s">
        <v>833</v>
      </c>
      <c r="Y2" s="466">
        <f>VLOOKUP(Y1,Activities!A10:Q129,16,FALSE)</f>
        <v>27868.188604263243</v>
      </c>
    </row>
    <row r="3" spans="1:25" ht="21" x14ac:dyDescent="0.25">
      <c r="A3" s="329" t="s">
        <v>267</v>
      </c>
      <c r="B3" s="330">
        <f>'Version Control'!B50</f>
        <v>7</v>
      </c>
      <c r="C3" s="1356"/>
      <c r="D3" s="1357"/>
      <c r="E3" s="1358"/>
      <c r="F3" s="1290"/>
      <c r="G3" s="1291"/>
      <c r="H3" s="1291"/>
      <c r="I3" s="1291"/>
      <c r="J3" s="1292"/>
      <c r="K3" s="331"/>
      <c r="L3" s="332" t="s">
        <v>462</v>
      </c>
      <c r="M3" s="333">
        <f>'Summary Page'!J73</f>
        <v>0</v>
      </c>
      <c r="P3" s="374" t="s">
        <v>35</v>
      </c>
      <c r="Q3" s="357">
        <f>VLOOKUP(P1,Activities!$A$10:$Q$152,16,FALSE)</f>
        <v>1.1086505828514972</v>
      </c>
      <c r="R3" s="357">
        <f>VLOOKUP(Q1,Activities!$A$10:$Q$152,16,FALSE)</f>
        <v>1.1303836975020005</v>
      </c>
      <c r="S3" s="376">
        <v>1</v>
      </c>
      <c r="T3" s="375">
        <f>R3+Q3</f>
        <v>2.2390342803534979</v>
      </c>
      <c r="U3" s="235" t="s">
        <v>35</v>
      </c>
      <c r="V3" s="377">
        <f>T3</f>
        <v>2.2390342803534979</v>
      </c>
      <c r="X3" s="71" t="s">
        <v>836</v>
      </c>
      <c r="Y3" s="467">
        <f>Y2*2</f>
        <v>55736.377208526486</v>
      </c>
    </row>
    <row r="4" spans="1:25" ht="15" customHeight="1" x14ac:dyDescent="0.25">
      <c r="A4" s="334" t="s">
        <v>463</v>
      </c>
      <c r="B4" s="335">
        <f>'Version Control'!A50</f>
        <v>45531</v>
      </c>
      <c r="K4" s="294"/>
      <c r="L4" s="336" t="s">
        <v>464</v>
      </c>
      <c r="M4" s="337" t="e">
        <f>M2/M3</f>
        <v>#DIV/0!</v>
      </c>
      <c r="P4" s="374" t="s">
        <v>36</v>
      </c>
      <c r="Q4" s="375">
        <f>Q3</f>
        <v>1.1086505828514972</v>
      </c>
      <c r="R4" s="375">
        <f>R3*2</f>
        <v>2.260767395004001</v>
      </c>
      <c r="S4" s="376">
        <v>0.8</v>
      </c>
      <c r="T4" s="375">
        <f>Q4+(R4*S4)</f>
        <v>2.9172644988546983</v>
      </c>
      <c r="U4" s="235" t="s">
        <v>36</v>
      </c>
      <c r="V4" s="377">
        <f>T4</f>
        <v>2.9172644988546983</v>
      </c>
      <c r="X4" s="71" t="s">
        <v>834</v>
      </c>
      <c r="Y4" s="467">
        <f>Y2*3</f>
        <v>83604.565812789733</v>
      </c>
    </row>
    <row r="5" spans="1:25" ht="15" customHeight="1" x14ac:dyDescent="0.25">
      <c r="A5" s="1349" t="s">
        <v>465</v>
      </c>
      <c r="B5" s="1298"/>
      <c r="C5" s="1298"/>
      <c r="D5" s="1298"/>
      <c r="E5" s="1299"/>
      <c r="G5" s="1302" t="s">
        <v>466</v>
      </c>
      <c r="H5" s="1303"/>
      <c r="I5" s="1303"/>
      <c r="J5" s="1304"/>
      <c r="P5" s="374" t="s">
        <v>37</v>
      </c>
      <c r="Q5" s="375">
        <f t="shared" ref="Q5:Q6" si="0">Q4</f>
        <v>1.1086505828514972</v>
      </c>
      <c r="R5" s="375">
        <f>R3*4</f>
        <v>4.5215347900080021</v>
      </c>
      <c r="S5" s="376">
        <v>0.7</v>
      </c>
      <c r="T5" s="375">
        <f>Q5+(R5*S5)</f>
        <v>4.2737249358570981</v>
      </c>
      <c r="U5" s="235" t="s">
        <v>37</v>
      </c>
      <c r="V5" s="377">
        <f>T5</f>
        <v>4.2737249358570981</v>
      </c>
      <c r="X5" s="71" t="s">
        <v>835</v>
      </c>
      <c r="Y5" s="467">
        <f>Y2*5</f>
        <v>139340.94302131623</v>
      </c>
    </row>
    <row r="6" spans="1:25" ht="21" customHeight="1" x14ac:dyDescent="0.25">
      <c r="A6" s="1350"/>
      <c r="B6" s="1351"/>
      <c r="C6" s="1351"/>
      <c r="D6" s="1351"/>
      <c r="E6" s="1352"/>
      <c r="F6" s="299"/>
      <c r="G6" s="1305" t="s">
        <v>484</v>
      </c>
      <c r="H6" s="1306"/>
      <c r="I6" s="1306"/>
      <c r="J6" s="1306"/>
      <c r="K6" s="1306"/>
      <c r="L6" s="1306"/>
      <c r="M6" s="1307"/>
      <c r="P6" s="374" t="s">
        <v>38</v>
      </c>
      <c r="Q6" s="375">
        <f t="shared" si="0"/>
        <v>1.1086505828514972</v>
      </c>
      <c r="R6" s="375">
        <f>R3*8</f>
        <v>9.0430695800160041</v>
      </c>
      <c r="S6" s="376">
        <v>0.6</v>
      </c>
      <c r="T6" s="375">
        <f>Q6+(R6*S6)</f>
        <v>6.5344923308610987</v>
      </c>
      <c r="U6" s="235" t="s">
        <v>244</v>
      </c>
      <c r="V6" s="377">
        <f>T6</f>
        <v>6.5344923308610987</v>
      </c>
      <c r="X6" s="52" t="s">
        <v>613</v>
      </c>
      <c r="Y6" s="124"/>
    </row>
    <row r="7" spans="1:25" ht="15" customHeight="1" x14ac:dyDescent="0.25">
      <c r="A7" s="348">
        <v>1</v>
      </c>
      <c r="B7" s="1353" t="s">
        <v>508</v>
      </c>
      <c r="C7" s="1354"/>
      <c r="D7" s="1354"/>
      <c r="E7" s="1355"/>
      <c r="F7" s="339"/>
      <c r="G7" s="1308"/>
      <c r="H7" s="1309"/>
      <c r="I7" s="1309"/>
      <c r="J7" s="1309"/>
      <c r="K7" s="1309"/>
      <c r="L7" s="1309"/>
      <c r="M7" s="1310"/>
      <c r="P7" s="238"/>
      <c r="Q7" s="236"/>
      <c r="R7" s="236"/>
      <c r="S7" s="236"/>
      <c r="T7" s="236"/>
      <c r="U7" s="236" t="s">
        <v>264</v>
      </c>
      <c r="V7" s="237"/>
    </row>
    <row r="8" spans="1:25" ht="18.75" customHeight="1" x14ac:dyDescent="0.3">
      <c r="A8" s="297">
        <v>2</v>
      </c>
      <c r="B8" s="1340" t="s">
        <v>509</v>
      </c>
      <c r="C8" s="1341"/>
      <c r="D8" s="1341"/>
      <c r="E8" s="1342"/>
      <c r="F8" s="339"/>
      <c r="G8" s="1137"/>
      <c r="H8" s="1138"/>
      <c r="I8" s="1138"/>
      <c r="J8" s="1138"/>
      <c r="K8" s="1138"/>
      <c r="L8" s="1138"/>
      <c r="M8" s="1139"/>
      <c r="P8" s="370" t="str">
        <f>B34</f>
        <v>A1006</v>
      </c>
      <c r="Q8" s="550" t="s">
        <v>19</v>
      </c>
      <c r="R8" s="1273" t="s">
        <v>893</v>
      </c>
      <c r="S8" s="1274"/>
      <c r="T8" s="1274"/>
      <c r="U8" s="1274"/>
      <c r="V8" s="1275"/>
    </row>
    <row r="9" spans="1:25" ht="15.75" customHeight="1" x14ac:dyDescent="0.25">
      <c r="A9" s="297">
        <v>3</v>
      </c>
      <c r="B9" s="1343" t="s">
        <v>510</v>
      </c>
      <c r="C9" s="1344"/>
      <c r="D9" s="1344"/>
      <c r="E9" s="1345"/>
      <c r="F9" s="339"/>
      <c r="G9" s="1140"/>
      <c r="H9" s="1329"/>
      <c r="I9" s="1329"/>
      <c r="J9" s="1329"/>
      <c r="K9" s="1329"/>
      <c r="L9" s="1329"/>
      <c r="M9" s="1142"/>
      <c r="P9" s="297" t="s">
        <v>61</v>
      </c>
      <c r="Q9" s="371" t="s">
        <v>58</v>
      </c>
      <c r="R9" s="371" t="s">
        <v>59</v>
      </c>
      <c r="S9" s="371" t="s">
        <v>60</v>
      </c>
      <c r="T9" s="371" t="s">
        <v>53</v>
      </c>
      <c r="U9" s="372" t="s">
        <v>61</v>
      </c>
      <c r="V9" s="373" t="s">
        <v>53</v>
      </c>
    </row>
    <row r="10" spans="1:25" ht="15" customHeight="1" x14ac:dyDescent="0.25">
      <c r="A10" s="297">
        <v>4</v>
      </c>
      <c r="B10" s="1327" t="s">
        <v>511</v>
      </c>
      <c r="C10" s="1327"/>
      <c r="D10" s="1327"/>
      <c r="E10" s="1328"/>
      <c r="F10" s="339"/>
      <c r="G10" s="1140"/>
      <c r="H10" s="1329"/>
      <c r="I10" s="1329"/>
      <c r="J10" s="1329"/>
      <c r="K10" s="1329"/>
      <c r="L10" s="1329"/>
      <c r="M10" s="1142"/>
      <c r="P10" s="374" t="s">
        <v>35</v>
      </c>
      <c r="Q10" s="357">
        <f>VLOOKUP(P8,Activities!$A$10:$Q$152,16,FALSE)</f>
        <v>1.1086505828514972</v>
      </c>
      <c r="R10" s="357">
        <f>VLOOKUP(Q8,Activities!$A$10:$Q$152,16,FALSE)</f>
        <v>1.1303836975020005</v>
      </c>
      <c r="S10" s="376">
        <v>1</v>
      </c>
      <c r="T10" s="375">
        <f>R10+Q10</f>
        <v>2.2390342803534979</v>
      </c>
      <c r="U10" s="235" t="s">
        <v>35</v>
      </c>
      <c r="V10" s="377">
        <f>T10</f>
        <v>2.2390342803534979</v>
      </c>
    </row>
    <row r="11" spans="1:25" ht="15" customHeight="1" x14ac:dyDescent="0.25">
      <c r="A11" s="297">
        <v>5</v>
      </c>
      <c r="B11" s="1330"/>
      <c r="C11" s="1331"/>
      <c r="D11" s="1331"/>
      <c r="E11" s="1332"/>
      <c r="F11" s="339"/>
      <c r="G11" s="1140"/>
      <c r="H11" s="1329"/>
      <c r="I11" s="1329"/>
      <c r="J11" s="1329"/>
      <c r="K11" s="1329"/>
      <c r="L11" s="1329"/>
      <c r="M11" s="1142"/>
      <c r="P11" s="374" t="s">
        <v>36</v>
      </c>
      <c r="Q11" s="375">
        <f>Q10</f>
        <v>1.1086505828514972</v>
      </c>
      <c r="R11" s="375">
        <f>R10*2</f>
        <v>2.260767395004001</v>
      </c>
      <c r="S11" s="376">
        <v>0.8</v>
      </c>
      <c r="T11" s="375">
        <f>Q11+(R11*S11)</f>
        <v>2.9172644988546983</v>
      </c>
      <c r="U11" s="235" t="s">
        <v>36</v>
      </c>
      <c r="V11" s="377">
        <f>T11</f>
        <v>2.9172644988546983</v>
      </c>
    </row>
    <row r="12" spans="1:25" ht="15" customHeight="1" x14ac:dyDescent="0.25">
      <c r="A12" s="305">
        <v>6</v>
      </c>
      <c r="B12" s="1282"/>
      <c r="C12" s="1282"/>
      <c r="D12" s="1282"/>
      <c r="E12" s="1283"/>
      <c r="G12" s="1140"/>
      <c r="H12" s="1329"/>
      <c r="I12" s="1329"/>
      <c r="J12" s="1329"/>
      <c r="K12" s="1329"/>
      <c r="L12" s="1329"/>
      <c r="M12" s="1142"/>
      <c r="P12" s="374" t="s">
        <v>37</v>
      </c>
      <c r="Q12" s="375">
        <f t="shared" ref="Q12:Q13" si="1">Q11</f>
        <v>1.1086505828514972</v>
      </c>
      <c r="R12" s="375">
        <f>R10*4</f>
        <v>4.5215347900080021</v>
      </c>
      <c r="S12" s="376">
        <v>0.7</v>
      </c>
      <c r="T12" s="375">
        <f>Q12+(R12*S12)</f>
        <v>4.2737249358570981</v>
      </c>
      <c r="U12" s="235" t="s">
        <v>37</v>
      </c>
      <c r="V12" s="377">
        <f>T12</f>
        <v>4.2737249358570981</v>
      </c>
    </row>
    <row r="13" spans="1:25" ht="15" customHeight="1" x14ac:dyDescent="0.25">
      <c r="A13" s="340" t="s">
        <v>34</v>
      </c>
      <c r="G13" s="1140"/>
      <c r="H13" s="1329"/>
      <c r="I13" s="1329"/>
      <c r="J13" s="1329"/>
      <c r="K13" s="1329"/>
      <c r="L13" s="1329"/>
      <c r="M13" s="1142"/>
      <c r="P13" s="374" t="s">
        <v>38</v>
      </c>
      <c r="Q13" s="375">
        <f t="shared" si="1"/>
        <v>1.1086505828514972</v>
      </c>
      <c r="R13" s="375">
        <f>R10*8</f>
        <v>9.0430695800160041</v>
      </c>
      <c r="S13" s="376">
        <v>0.6</v>
      </c>
      <c r="T13" s="375">
        <f>Q13+(R13*S13)</f>
        <v>6.5344923308610987</v>
      </c>
      <c r="U13" s="235" t="s">
        <v>244</v>
      </c>
      <c r="V13" s="377">
        <f>T13</f>
        <v>6.5344923308610987</v>
      </c>
    </row>
    <row r="14" spans="1:25" ht="15" customHeight="1" x14ac:dyDescent="0.25">
      <c r="A14" s="1276"/>
      <c r="B14" s="1277"/>
      <c r="C14" s="1278" t="s">
        <v>352</v>
      </c>
      <c r="D14" s="1278"/>
      <c r="E14" s="1279"/>
      <c r="G14" s="1140"/>
      <c r="H14" s="1329"/>
      <c r="I14" s="1329"/>
      <c r="J14" s="1329"/>
      <c r="K14" s="1329"/>
      <c r="L14" s="1329"/>
      <c r="M14" s="1142"/>
      <c r="P14" s="238"/>
      <c r="Q14" s="236"/>
      <c r="R14" s="236"/>
      <c r="S14" s="236"/>
      <c r="T14" s="236"/>
      <c r="U14" s="236" t="s">
        <v>264</v>
      </c>
      <c r="V14" s="237"/>
    </row>
    <row r="15" spans="1:25" ht="15" customHeight="1" x14ac:dyDescent="0.25">
      <c r="A15" s="1201"/>
      <c r="B15" s="1202"/>
      <c r="C15" s="1280" t="s">
        <v>467</v>
      </c>
      <c r="D15" s="1280"/>
      <c r="E15" s="1281"/>
      <c r="G15" s="1140"/>
      <c r="H15" s="1329"/>
      <c r="I15" s="1329"/>
      <c r="J15" s="1329"/>
      <c r="K15" s="1329"/>
      <c r="L15" s="1329"/>
      <c r="M15" s="1142"/>
    </row>
    <row r="16" spans="1:25" ht="18.75" customHeight="1" x14ac:dyDescent="0.3">
      <c r="A16" s="1284" t="s">
        <v>825</v>
      </c>
      <c r="B16" s="1285"/>
      <c r="C16" s="1285"/>
      <c r="D16" s="1285"/>
      <c r="E16" s="1286"/>
      <c r="G16" s="1140"/>
      <c r="H16" s="1329"/>
      <c r="I16" s="1329"/>
      <c r="J16" s="1329"/>
      <c r="K16" s="1329"/>
      <c r="L16" s="1329"/>
      <c r="M16" s="1142"/>
      <c r="P16" s="370" t="str">
        <f>B37</f>
        <v>A1013</v>
      </c>
      <c r="Q16" s="550" t="s">
        <v>19</v>
      </c>
      <c r="R16" s="1273" t="s">
        <v>72</v>
      </c>
      <c r="S16" s="1274"/>
      <c r="T16" s="1274"/>
      <c r="U16" s="1274"/>
      <c r="V16" s="1275"/>
    </row>
    <row r="17" spans="1:22" ht="15" customHeight="1" x14ac:dyDescent="0.25">
      <c r="A17" s="1287"/>
      <c r="B17" s="1288"/>
      <c r="C17" s="1288"/>
      <c r="D17" s="1288"/>
      <c r="E17" s="1289"/>
      <c r="G17" s="1140"/>
      <c r="H17" s="1329"/>
      <c r="I17" s="1329"/>
      <c r="J17" s="1329"/>
      <c r="K17" s="1329"/>
      <c r="L17" s="1329"/>
      <c r="M17" s="1142"/>
      <c r="P17" s="297" t="s">
        <v>61</v>
      </c>
      <c r="Q17" s="371" t="s">
        <v>58</v>
      </c>
      <c r="R17" s="371" t="s">
        <v>59</v>
      </c>
      <c r="S17" s="371" t="s">
        <v>60</v>
      </c>
      <c r="T17" s="371" t="s">
        <v>53</v>
      </c>
      <c r="U17" s="372" t="s">
        <v>61</v>
      </c>
      <c r="V17" s="373" t="s">
        <v>53</v>
      </c>
    </row>
    <row r="18" spans="1:22" ht="15" customHeight="1" x14ac:dyDescent="0.25">
      <c r="A18" s="1287"/>
      <c r="B18" s="1288"/>
      <c r="C18" s="1288"/>
      <c r="D18" s="1288"/>
      <c r="E18" s="1289"/>
      <c r="G18" s="1140"/>
      <c r="H18" s="1329"/>
      <c r="I18" s="1329"/>
      <c r="J18" s="1329"/>
      <c r="K18" s="1329"/>
      <c r="L18" s="1329"/>
      <c r="M18" s="1142"/>
      <c r="P18" s="374" t="s">
        <v>35</v>
      </c>
      <c r="Q18" s="357">
        <f>VLOOKUP(P16,Activities!$A$10:$Q$152,16,FALSE)</f>
        <v>1.4289323610931841</v>
      </c>
      <c r="R18" s="357">
        <f>VLOOKUP(Q16,Activities!$A$10:$Q$152,16,FALSE)</f>
        <v>1.1303836975020005</v>
      </c>
      <c r="S18" s="376">
        <v>1</v>
      </c>
      <c r="T18" s="375">
        <f>R18+Q18</f>
        <v>2.5593160585951846</v>
      </c>
      <c r="U18" s="235" t="s">
        <v>35</v>
      </c>
      <c r="V18" s="377">
        <f>T18</f>
        <v>2.5593160585951846</v>
      </c>
    </row>
    <row r="19" spans="1:22" ht="15" customHeight="1" x14ac:dyDescent="0.25">
      <c r="A19" s="1290"/>
      <c r="B19" s="1291"/>
      <c r="C19" s="1291"/>
      <c r="D19" s="1291"/>
      <c r="E19" s="1292"/>
      <c r="G19" s="1143"/>
      <c r="H19" s="1144"/>
      <c r="I19" s="1144"/>
      <c r="J19" s="1144"/>
      <c r="K19" s="1144"/>
      <c r="L19" s="1144"/>
      <c r="M19" s="1145"/>
      <c r="P19" s="374" t="s">
        <v>36</v>
      </c>
      <c r="Q19" s="375">
        <f>Q18</f>
        <v>1.4289323610931841</v>
      </c>
      <c r="R19" s="375">
        <f>R18*2</f>
        <v>2.260767395004001</v>
      </c>
      <c r="S19" s="376">
        <v>0.8</v>
      </c>
      <c r="T19" s="375">
        <f>Q19+(R19*S19)</f>
        <v>3.237546277096385</v>
      </c>
      <c r="U19" s="235" t="s">
        <v>36</v>
      </c>
      <c r="V19" s="377">
        <f>T19</f>
        <v>3.237546277096385</v>
      </c>
    </row>
    <row r="20" spans="1:22" ht="15" customHeight="1" x14ac:dyDescent="0.25">
      <c r="D20" s="366"/>
      <c r="J20" s="219"/>
      <c r="K20" s="367"/>
      <c r="L20" s="1291"/>
      <c r="M20" s="1292"/>
      <c r="P20" s="374" t="s">
        <v>37</v>
      </c>
      <c r="Q20" s="375">
        <f t="shared" ref="Q20:Q21" si="2">Q19</f>
        <v>1.4289323610931841</v>
      </c>
      <c r="R20" s="375">
        <f>R18*4</f>
        <v>4.5215347900080021</v>
      </c>
      <c r="S20" s="376">
        <v>0.7</v>
      </c>
      <c r="T20" s="375">
        <f>Q20+(R20*S20)</f>
        <v>4.5940067140987857</v>
      </c>
      <c r="U20" s="235" t="s">
        <v>37</v>
      </c>
      <c r="V20" s="377">
        <f>T20</f>
        <v>4.5940067140987857</v>
      </c>
    </row>
    <row r="21" spans="1:22" ht="60.75" customHeight="1" thickBot="1" x14ac:dyDescent="0.3">
      <c r="A21" s="119" t="s">
        <v>39</v>
      </c>
      <c r="B21" s="120" t="s">
        <v>40</v>
      </c>
      <c r="C21" s="120" t="s">
        <v>479</v>
      </c>
      <c r="D21" s="311" t="s">
        <v>272</v>
      </c>
      <c r="E21" s="311" t="s">
        <v>43</v>
      </c>
      <c r="F21" s="120" t="s">
        <v>273</v>
      </c>
      <c r="G21" s="1212" t="s">
        <v>416</v>
      </c>
      <c r="H21" s="1212"/>
      <c r="I21" s="120" t="s">
        <v>45</v>
      </c>
      <c r="J21" s="312" t="s">
        <v>271</v>
      </c>
      <c r="K21" s="120" t="s">
        <v>47</v>
      </c>
      <c r="L21" s="120" t="s">
        <v>270</v>
      </c>
      <c r="M21" s="317" t="s">
        <v>415</v>
      </c>
      <c r="P21" s="374" t="s">
        <v>38</v>
      </c>
      <c r="Q21" s="375">
        <f t="shared" si="2"/>
        <v>1.4289323610931841</v>
      </c>
      <c r="R21" s="375">
        <f>R18*8</f>
        <v>9.0430695800160041</v>
      </c>
      <c r="S21" s="376">
        <v>0.6</v>
      </c>
      <c r="T21" s="375">
        <f>Q21+(R21*S21)</f>
        <v>6.8547741091027863</v>
      </c>
      <c r="U21" s="235" t="s">
        <v>244</v>
      </c>
      <c r="V21" s="377">
        <f>T21</f>
        <v>6.8547741091027863</v>
      </c>
    </row>
    <row r="22" spans="1:22" s="243" customFormat="1" ht="60.75" thickBot="1" x14ac:dyDescent="0.3">
      <c r="A22" s="1293" t="s">
        <v>57</v>
      </c>
      <c r="B22" s="245" t="s">
        <v>8</v>
      </c>
      <c r="C22" s="259" t="str">
        <f>VLOOKUP($B22,Activities!$A$10:$P$152,3,FALSE)</f>
        <v>Design/Quantify/Survey of Tailings Dam to confirm appropriate Cover Specifications</v>
      </c>
      <c r="D22" s="239" t="s">
        <v>49</v>
      </c>
      <c r="E22" s="166"/>
      <c r="F22" s="246" t="str">
        <f>VLOOKUP($B22,Activities!$A$10:$P$152,4,FALSE)</f>
        <v>Item</v>
      </c>
      <c r="G22" s="313" t="s">
        <v>837</v>
      </c>
      <c r="H22" s="140" t="s">
        <v>613</v>
      </c>
      <c r="I22" s="273">
        <f>VLOOKUP(H22,X2:Y6,2,FALSE)</f>
        <v>0</v>
      </c>
      <c r="J22" s="269"/>
      <c r="K22" s="388">
        <f>IF(D22="Y",IF(J22="",I22*E22,J22*E22),"")</f>
        <v>0</v>
      </c>
      <c r="L22" s="248" t="str">
        <f>IFERROR(IF(D22="Y",K22/$K$55,0%),"0.0%")</f>
        <v>0.0%</v>
      </c>
      <c r="M22" s="290" t="str">
        <f>VLOOKUP($B22,Activities!$A$10:$S$152,19,FALSE)</f>
        <v>The sum covers the design and specification of the cover thickness and the surveying of the storage facility.  It covers the equivalent of approximately 50 to 60 hours of professional surveying, engineering and laboratory work involved when a third party is required to determine the specification of a cover for a tailing storage facility.</v>
      </c>
      <c r="P22" s="378"/>
      <c r="Q22" s="379"/>
      <c r="R22" s="379"/>
      <c r="S22" s="379"/>
      <c r="T22" s="379"/>
      <c r="U22" s="236" t="s">
        <v>264</v>
      </c>
      <c r="V22" s="380"/>
    </row>
    <row r="23" spans="1:22" s="243" customFormat="1" ht="84.75" thickBot="1" x14ac:dyDescent="0.3">
      <c r="A23" s="1336"/>
      <c r="B23" s="258" t="s">
        <v>241</v>
      </c>
      <c r="C23" s="259" t="str">
        <f>VLOOKUP($B23,Activities!$A$10:$P$152,3,FALSE)</f>
        <v>Characteristics of soil and groundwater contamination (Environmental site assessment)</v>
      </c>
      <c r="D23" s="239" t="s">
        <v>49</v>
      </c>
      <c r="E23" s="240"/>
      <c r="F23" s="246" t="str">
        <f>VLOOKUP($B23,Activities!$A$10:$P$152,4,FALSE)</f>
        <v>Ha</v>
      </c>
      <c r="G23" s="1269"/>
      <c r="H23" s="1270"/>
      <c r="I23" s="273">
        <f>VLOOKUP($B23,Activities!$A$10:$S$152,16,FALSE)</f>
        <v>32524.962920035628</v>
      </c>
      <c r="J23" s="269"/>
      <c r="K23" s="388">
        <f t="shared" ref="K23:K26" si="3">IF(D23="Y",IF(J23="",I23*E23,J23*E23),0)</f>
        <v>0</v>
      </c>
      <c r="L23" s="248" t="str">
        <f t="shared" ref="L23:L26" si="4">IFERROR(IF(D23="Y",K23/$K$59,0%),"0.0%")</f>
        <v>0.0%</v>
      </c>
      <c r="M23" s="290" t="str">
        <f>VLOOKUP($B23,Activities!$A$10:$S$152,19,FALSE)</f>
        <v>Assumes soil sampling at 10 locations and development of up to four groundwater wells and one groundwater monitoring event (GME) per hectare.  Chemical analysis of one soild sample per location and one groundwater sample per well for a standard suite of chemicals (eg heavy metals, selected organics) of potential interest.  Soil sites advance to a maximum of 1 metre below ground level and wells to a maximum depth of 12 metres below ground level.</v>
      </c>
      <c r="P23" s="283"/>
      <c r="Q23" s="283"/>
      <c r="R23" s="283"/>
      <c r="S23" s="283"/>
      <c r="T23" s="283"/>
      <c r="U23" s="234"/>
      <c r="V23" s="283"/>
    </row>
    <row r="24" spans="1:22" s="243" customFormat="1" ht="72.75" thickBot="1" x14ac:dyDescent="0.3">
      <c r="A24" s="1336"/>
      <c r="B24" s="245" t="s">
        <v>233</v>
      </c>
      <c r="C24" s="259" t="str">
        <f>VLOOKUP($B24,Activities!$A$10:$P$152,3,FALSE)</f>
        <v>Demolish and Removal of Pipework - Plastic (Borefields, tailing facilities, etc)</v>
      </c>
      <c r="D24" s="239" t="s">
        <v>49</v>
      </c>
      <c r="E24" s="240"/>
      <c r="F24" s="246" t="str">
        <f>VLOOKUP($B24,Activities!$A$10:$P$152,4,FALSE)</f>
        <v>m</v>
      </c>
      <c r="G24" s="1269"/>
      <c r="H24" s="1270"/>
      <c r="I24" s="273">
        <f>VLOOKUP($B24,Activities!$A$10:$S$152,16,FALSE)</f>
        <v>13.119651535666517</v>
      </c>
      <c r="J24" s="269"/>
      <c r="K24" s="388">
        <f t="shared" si="3"/>
        <v>0</v>
      </c>
      <c r="L24" s="248" t="str">
        <f t="shared" si="4"/>
        <v>0.0%</v>
      </c>
      <c r="M24" s="290" t="str">
        <f>VLOOKUP($B24,Activities!$A$10:$S$152,19,FALSE)</f>
        <v>The activity consists of removing all pipework within the area and disposing of this pipework in an approved dump on the site.  The pipework should be cut up or shredded.  The activity assumes that the pipe is &lt;200mm and is plastic in nature.  If the pipe is very large or steel a separate demolition price should be prepared.  It does not inlcude pipework within a process plant.</v>
      </c>
    </row>
    <row r="25" spans="1:22" s="243" customFormat="1" ht="80.25" customHeight="1" thickBot="1" x14ac:dyDescent="0.3">
      <c r="A25" s="1336"/>
      <c r="B25" s="245" t="s">
        <v>434</v>
      </c>
      <c r="C25" s="259" t="str">
        <f>VLOOKUP($B25,Activities!$A$10:$P$152,3,FALSE)</f>
        <v>Removal and Disposal of Major Trunk Pipelines</v>
      </c>
      <c r="D25" s="239" t="s">
        <v>49</v>
      </c>
      <c r="E25" s="240"/>
      <c r="F25" s="246" t="str">
        <f>VLOOKUP($B25,Activities!$A$10:$P$152,4,FALSE)</f>
        <v>m</v>
      </c>
      <c r="G25" s="1269"/>
      <c r="H25" s="1270"/>
      <c r="I25" s="273">
        <f>VLOOKUP($B25,Activities!$A$10:$S$152,16,FALSE)</f>
        <v>32.467068764228138</v>
      </c>
      <c r="J25" s="269"/>
      <c r="K25" s="388">
        <f t="shared" si="3"/>
        <v>0</v>
      </c>
      <c r="L25" s="248" t="str">
        <f t="shared" si="4"/>
        <v>0.0%</v>
      </c>
      <c r="M25" s="290" t="str">
        <f>VLOOKUP($B25,Activities!$A$10:$S$152,19,FALSE)</f>
        <v>The activity relates specifically to the removal and disposal of trunk pipelines assumed to be plastic in nature but greater than 200 mm in diameter.   The pipework should be cut up or shredded.   If the pipe is very large or steel a separate demolition price should be prepared.  It does not inlcude pipework within a process plant.</v>
      </c>
    </row>
    <row r="26" spans="1:22" s="243" customFormat="1" ht="49.5" customHeight="1" thickBot="1" x14ac:dyDescent="0.3">
      <c r="A26" s="1294"/>
      <c r="B26" s="245" t="s">
        <v>10</v>
      </c>
      <c r="C26" s="259" t="str">
        <f>VLOOKUP($B26,Activities!$A$10:$P$152,3,FALSE)</f>
        <v>Pump Station - Above Ground on concrete slab - Demolish and remove</v>
      </c>
      <c r="D26" s="239" t="s">
        <v>49</v>
      </c>
      <c r="E26" s="240"/>
      <c r="F26" s="246" t="str">
        <f>VLOOKUP($B26,Activities!$A$10:$P$152,4,FALSE)</f>
        <v>Item</v>
      </c>
      <c r="G26" s="1269"/>
      <c r="H26" s="1270"/>
      <c r="I26" s="273">
        <f>VLOOKUP($B26,Activities!$A$10:$S$152,16,FALSE)</f>
        <v>1613.7887890157565</v>
      </c>
      <c r="J26" s="269"/>
      <c r="K26" s="388">
        <f t="shared" si="3"/>
        <v>0</v>
      </c>
      <c r="L26" s="248" t="str">
        <f t="shared" si="4"/>
        <v>0.0%</v>
      </c>
      <c r="M26" s="290" t="str">
        <f>VLOOKUP($B26,Activities!$A$10:$S$152,19,FALSE)</f>
        <v xml:space="preserve">The sum covers the demolition and removal of a pumping station and associated equipment </v>
      </c>
    </row>
    <row r="27" spans="1:22" s="243" customFormat="1" ht="15.75" thickBot="1" x14ac:dyDescent="0.3">
      <c r="A27" s="293" t="s">
        <v>53</v>
      </c>
      <c r="B27" s="345" t="str">
        <f>A22</f>
        <v xml:space="preserve">Preliminaries </v>
      </c>
      <c r="C27" s="251"/>
      <c r="D27" s="252"/>
      <c r="E27" s="253"/>
      <c r="F27" s="252"/>
      <c r="G27" s="252"/>
      <c r="H27" s="252"/>
      <c r="I27" s="254"/>
      <c r="J27" s="255"/>
      <c r="K27" s="256">
        <f>SUM(K22:K26)</f>
        <v>0</v>
      </c>
      <c r="L27" s="252"/>
      <c r="M27" s="301"/>
    </row>
    <row r="28" spans="1:22" s="243" customFormat="1" ht="49.5" customHeight="1" thickBot="1" x14ac:dyDescent="0.3">
      <c r="A28" s="1337" t="s">
        <v>66</v>
      </c>
      <c r="B28" s="270"/>
      <c r="C28" s="304" t="s">
        <v>67</v>
      </c>
      <c r="D28" s="239" t="s">
        <v>49</v>
      </c>
      <c r="E28" s="346"/>
      <c r="F28" s="296"/>
      <c r="G28" s="1269"/>
      <c r="H28" s="1270"/>
      <c r="I28" s="355" t="s">
        <v>475</v>
      </c>
      <c r="J28" s="269"/>
      <c r="K28" s="387">
        <f>IF(D28="Y",J28*E28,"")</f>
        <v>0</v>
      </c>
      <c r="L28" s="248" t="str">
        <f>IFERROR(IF(D28="Y",K28/$K$55,0%),"0.0%")</f>
        <v>0.0%</v>
      </c>
      <c r="M28" s="169" t="s">
        <v>577</v>
      </c>
    </row>
    <row r="29" spans="1:22" s="243" customFormat="1" ht="49.5" customHeight="1" thickBot="1" x14ac:dyDescent="0.3">
      <c r="A29" s="1338"/>
      <c r="B29" s="270"/>
      <c r="C29" s="304" t="s">
        <v>67</v>
      </c>
      <c r="D29" s="239" t="s">
        <v>49</v>
      </c>
      <c r="E29" s="346"/>
      <c r="F29" s="296"/>
      <c r="G29" s="1269"/>
      <c r="H29" s="1270"/>
      <c r="I29" s="355" t="s">
        <v>475</v>
      </c>
      <c r="J29" s="269"/>
      <c r="K29" s="387">
        <f>IF(D29="Y",J29*E29,"")</f>
        <v>0</v>
      </c>
      <c r="L29" s="248" t="str">
        <f>IFERROR(IF(D29="Y",K29/$K$55,0%),"0.0%")</f>
        <v>0.0%</v>
      </c>
      <c r="M29" s="169" t="s">
        <v>577</v>
      </c>
    </row>
    <row r="30" spans="1:22" s="243" customFormat="1" ht="15.75" thickBot="1" x14ac:dyDescent="0.3">
      <c r="A30" s="291" t="s">
        <v>53</v>
      </c>
      <c r="B30" s="345" t="str">
        <f>A28</f>
        <v xml:space="preserve">Special Treatments </v>
      </c>
      <c r="C30" s="251"/>
      <c r="D30" s="252"/>
      <c r="E30" s="253"/>
      <c r="F30" s="252"/>
      <c r="G30" s="252"/>
      <c r="H30" s="252"/>
      <c r="I30" s="254"/>
      <c r="J30" s="255"/>
      <c r="K30" s="256">
        <f>SUM(K28:K29)</f>
        <v>0</v>
      </c>
      <c r="L30" s="252"/>
      <c r="M30" s="301"/>
    </row>
    <row r="31" spans="1:22" s="243" customFormat="1" ht="64.5" customHeight="1" thickBot="1" x14ac:dyDescent="0.3">
      <c r="A31" s="1333" t="s">
        <v>578</v>
      </c>
      <c r="B31" s="245" t="s">
        <v>13</v>
      </c>
      <c r="C31" s="259" t="str">
        <f>VLOOKUP($B31,Activities!$A$10:$P$152,3,FALSE)</f>
        <v>Major Bulk Pushing/Dozing to achieve Final Land Forms</v>
      </c>
      <c r="D31" s="239" t="s">
        <v>49</v>
      </c>
      <c r="E31" s="240"/>
      <c r="F31" s="246" t="str">
        <f>VLOOKUP($B31,Activities!$A$10:$P$152,4,FALSE)</f>
        <v>m3</v>
      </c>
      <c r="G31" s="1269"/>
      <c r="H31" s="1270"/>
      <c r="I31" s="272">
        <f>VLOOKUP($B31,Activities!$A$10:$S$152,16,FALSE)</f>
        <v>0.96390609627070267</v>
      </c>
      <c r="J31" s="269"/>
      <c r="K31" s="388">
        <f t="shared" ref="K31:K32" si="5">IF(D31="Y",IF(J31="",I31*E31,J31*E31),0)</f>
        <v>0</v>
      </c>
      <c r="L31" s="248" t="str">
        <f t="shared" ref="L31:L32" si="6">IFERROR(IF(D31="Y",K31/$K$59,0%),"0.0%")</f>
        <v>0.0%</v>
      </c>
      <c r="M31" s="290" t="str">
        <f>VLOOKUP($B31,Activities!$A$10:$S$152,19,FALSE)</f>
        <v>This unit cost covers the use of a dozer to push material within reasonable confines to achieve a Final Land Form.  It is often undertaken prior to covering a tailing storage facility</v>
      </c>
      <c r="P31" s="233"/>
      <c r="Q31" s="233"/>
      <c r="R31" s="233"/>
      <c r="S31" s="233"/>
      <c r="T31" s="233"/>
      <c r="U31" s="233"/>
      <c r="V31" s="233"/>
    </row>
    <row r="32" spans="1:22" s="243" customFormat="1" ht="64.5" customHeight="1" thickBot="1" x14ac:dyDescent="0.3">
      <c r="A32" s="1334"/>
      <c r="B32" s="258" t="s">
        <v>79</v>
      </c>
      <c r="C32" s="259" t="str">
        <f>VLOOKUP($B32,Activities!$A$10:$P$152,3,FALSE)</f>
        <v>Minor Shaping across a Dump or Disturbed Area</v>
      </c>
      <c r="D32" s="239" t="s">
        <v>49</v>
      </c>
      <c r="E32" s="240"/>
      <c r="F32" s="246" t="str">
        <f>VLOOKUP($B32,Activities!$A$10:$P$152,4,FALSE)</f>
        <v>Ha</v>
      </c>
      <c r="G32" s="1269"/>
      <c r="H32" s="1270"/>
      <c r="I32" s="273">
        <f>VLOOKUP($B32,Activities!$A$10:$S$152,16,FALSE)</f>
        <v>2987.2221197728068</v>
      </c>
      <c r="J32" s="269"/>
      <c r="K32" s="388">
        <f t="shared" si="5"/>
        <v>0</v>
      </c>
      <c r="L32" s="248" t="str">
        <f t="shared" si="6"/>
        <v>0.0%</v>
      </c>
      <c r="M32" s="290" t="str">
        <f>VLOOKUP($B32,Activities!$A$10:$S$152,19,FALSE)</f>
        <v xml:space="preserve">This activity covers minor shaping shifting pushing across a dump or disturbed area.  It is based on a rate per hectare.  It covers area where there needs to be some clearing work, tidying up of disturbed ground,  but not just bulk pushing </v>
      </c>
      <c r="P32" s="233"/>
      <c r="Q32" s="233"/>
      <c r="R32" s="233"/>
      <c r="S32" s="233"/>
      <c r="T32" s="233"/>
      <c r="U32" s="233"/>
      <c r="V32" s="233"/>
    </row>
    <row r="33" spans="1:13" ht="70.5" customHeight="1" thickBot="1" x14ac:dyDescent="0.3">
      <c r="A33" s="1334"/>
      <c r="B33" s="245" t="s">
        <v>16</v>
      </c>
      <c r="C33" s="259" t="str">
        <f>VLOOKUP($B33,Activities!$A$10:$P$152,3,FALSE)</f>
        <v>Load and haul of mined, processed, stockpiled materials or topsoil</v>
      </c>
      <c r="D33" s="239" t="s">
        <v>49</v>
      </c>
      <c r="E33" s="346"/>
      <c r="F33" s="246" t="str">
        <f>VLOOKUP($B33,Activities!$A$10:$P$152,4,FALSE)</f>
        <v>m3</v>
      </c>
      <c r="G33" s="313" t="s">
        <v>51</v>
      </c>
      <c r="H33" s="167" t="s">
        <v>264</v>
      </c>
      <c r="I33" s="272">
        <f>VLOOKUP(H33,U3:V7,2)</f>
        <v>0</v>
      </c>
      <c r="J33" s="269"/>
      <c r="K33" s="388">
        <f>IF(D33="Y",IF(J33="",I33*E33,J33*E33),"")</f>
        <v>0</v>
      </c>
      <c r="L33" s="248" t="str">
        <f>IFERROR(IF(D33="Y",K33/$K$55,0%),"0.0%")</f>
        <v>0.0%</v>
      </c>
      <c r="M33" s="290" t="str">
        <f>VLOOKUP($B33,Activities!$A$10:$S$152,19,FALSE)</f>
        <v>This activity involves loading into a truck of material previously mined, processed material or topsoil, and hauling a selected distance.</v>
      </c>
    </row>
    <row r="34" spans="1:13" ht="42.75" thickBot="1" x14ac:dyDescent="0.3">
      <c r="A34" s="1334"/>
      <c r="B34" s="245" t="s">
        <v>17</v>
      </c>
      <c r="C34" s="259" t="str">
        <f>VLOOKUP($B34,Activities!$A$10:$P$152,3,FALSE)</f>
        <v xml:space="preserve">Excavation of earthen materials from local borrow pits, plus haulage </v>
      </c>
      <c r="D34" s="239" t="s">
        <v>49</v>
      </c>
      <c r="E34" s="346"/>
      <c r="F34" s="246" t="str">
        <f>VLOOKUP($B34,Activities!$A$10:$P$152,4,FALSE)</f>
        <v>m3</v>
      </c>
      <c r="G34" s="313" t="s">
        <v>51</v>
      </c>
      <c r="H34" s="167" t="s">
        <v>264</v>
      </c>
      <c r="I34" s="272">
        <f>VLOOKUP(H34,U10:V14,2)</f>
        <v>0</v>
      </c>
      <c r="J34" s="269"/>
      <c r="K34" s="388">
        <f>IF(D34="Y",IF(J34="",I34*E34,J34*E34),"")</f>
        <v>0</v>
      </c>
      <c r="L34" s="248" t="str">
        <f>IFERROR(IF(D34="Y",K34/$K$55,0%),"0.0%")</f>
        <v>0.0%</v>
      </c>
      <c r="M34" s="290" t="str">
        <f>VLOOKUP($B34,Activities!$A$10:$S$152,19,FALSE)</f>
        <v>This activity involves the excavation of earthern material from a local borrow pit and the loading of that material into a truck.  Haulage cost based on distance hauled.</v>
      </c>
    </row>
    <row r="35" spans="1:13" ht="53.25" customHeight="1" thickBot="1" x14ac:dyDescent="0.3">
      <c r="A35" s="1334"/>
      <c r="B35" s="245" t="s">
        <v>18</v>
      </c>
      <c r="C35" s="259" t="str">
        <f>VLOOKUP($B35,Activities!$A$10:$P$152,3,FALSE)</f>
        <v>Spreading Materials on ground or an open area excluding compaction (&gt;1,000m3)</v>
      </c>
      <c r="D35" s="239" t="s">
        <v>49</v>
      </c>
      <c r="E35" s="240"/>
      <c r="F35" s="246" t="str">
        <f>VLOOKUP($B35,Activities!$A$10:$P$152,4,FALSE)</f>
        <v>m3</v>
      </c>
      <c r="G35" s="1269"/>
      <c r="H35" s="1270"/>
      <c r="I35" s="272">
        <f>VLOOKUP($B35,Activities!$A$10:$S$152,16,FALSE)</f>
        <v>1.0890037105820705</v>
      </c>
      <c r="J35" s="269"/>
      <c r="K35" s="388">
        <f t="shared" ref="K35" si="7">IF(D35="Y",IF(J35="",I35*E35,J35*E35),0)</f>
        <v>0</v>
      </c>
      <c r="L35" s="248" t="str">
        <f t="shared" ref="L35" si="8">IFERROR(IF(D35="Y",K35/$K$59,0%),"0.0%")</f>
        <v>0.0%</v>
      </c>
      <c r="M35" s="290" t="str">
        <f>VLOOKUP($B35,Activities!$A$10:$S$152,19,FALSE)</f>
        <v xml:space="preserve">This activity involves the spreading of material that has been transported and dumped at the work area. </v>
      </c>
    </row>
    <row r="36" spans="1:13" ht="15.75" thickBot="1" x14ac:dyDescent="0.3">
      <c r="A36" s="293" t="s">
        <v>53</v>
      </c>
      <c r="B36" s="345" t="str">
        <f>A31</f>
        <v>Primary Earthworks and Construction of the Cover for the Tailing Facility</v>
      </c>
      <c r="C36" s="251"/>
      <c r="D36" s="252"/>
      <c r="E36" s="253"/>
      <c r="F36" s="252"/>
      <c r="G36" s="252"/>
      <c r="H36" s="252"/>
      <c r="I36" s="254"/>
      <c r="J36" s="255"/>
      <c r="K36" s="256">
        <f>SUM(K31:K35)</f>
        <v>0</v>
      </c>
      <c r="L36" s="252"/>
      <c r="M36" s="301"/>
    </row>
    <row r="37" spans="1:13" ht="42.75" thickBot="1" x14ac:dyDescent="0.3">
      <c r="A37" s="1333" t="s">
        <v>69</v>
      </c>
      <c r="B37" s="245" t="s">
        <v>70</v>
      </c>
      <c r="C37" s="259" t="str">
        <f>VLOOKUP($B37,Activities!$A$10:$P$152,3,FALSE)</f>
        <v>Sourcing, Carting and Spreading of Topsoil over an Area</v>
      </c>
      <c r="D37" s="239" t="s">
        <v>49</v>
      </c>
      <c r="E37" s="346"/>
      <c r="F37" s="246" t="str">
        <f>VLOOKUP($B37,Activities!$A$10:$P$152,4,FALSE)</f>
        <v>m3</v>
      </c>
      <c r="G37" s="315"/>
      <c r="H37" s="167" t="s">
        <v>264</v>
      </c>
      <c r="I37" s="272">
        <f>VLOOKUP(H37,U18:V22,2)</f>
        <v>0</v>
      </c>
      <c r="J37" s="269"/>
      <c r="K37" s="388">
        <f>IF(D37="Y",IF(J37="",I37*E37,J37*E37),"")</f>
        <v>0</v>
      </c>
      <c r="L37" s="248" t="str">
        <f>IFERROR(IF(D37="Y",K37/$K$55,0%),"0.0%")</f>
        <v>0.0%</v>
      </c>
      <c r="M37" s="290" t="str">
        <f>VLOOKUP($B37,Activities!$A$10:$S$152,19,FALSE)</f>
        <v>This activity covers the sourcing of topsoil or suitable growth medium, transporting from the source to the required area and then spreading it over that area.</v>
      </c>
    </row>
    <row r="38" spans="1:13" ht="46.5" customHeight="1" thickBot="1" x14ac:dyDescent="0.3">
      <c r="A38" s="1334"/>
      <c r="B38" s="245" t="s">
        <v>21</v>
      </c>
      <c r="C38" s="259" t="str">
        <f>VLOOKUP($B38,Activities!$A$10:$P$152,3,FALSE)</f>
        <v>Scarification to promote vegetation growth</v>
      </c>
      <c r="D38" s="239" t="s">
        <v>49</v>
      </c>
      <c r="E38" s="240"/>
      <c r="F38" s="246" t="str">
        <f>VLOOKUP($B38,Activities!$A$10:$P$152,4,FALSE)</f>
        <v>Ha</v>
      </c>
      <c r="G38" s="1269"/>
      <c r="H38" s="1270"/>
      <c r="I38" s="273">
        <f>VLOOKUP($B38,Activities!$A$10:$S$152,16,FALSE)</f>
        <v>323.54530924221694</v>
      </c>
      <c r="J38" s="269"/>
      <c r="K38" s="388">
        <f t="shared" ref="K38:K48" si="9">IF(D38="Y",IF(J38="",I38*E38,J38*E38),0)</f>
        <v>0</v>
      </c>
      <c r="L38" s="248" t="str">
        <f t="shared" ref="L38:L48" si="10">IFERROR(IF(D38="Y",K38/$K$59,0%),"0.0%")</f>
        <v>0.0%</v>
      </c>
      <c r="M38" s="290" t="str">
        <f>VLOOKUP($B38,Activities!$A$10:$S$152,19,FALSE)</f>
        <v xml:space="preserve">This activity is undertaken in preparation for the seeding of a particular area.  </v>
      </c>
    </row>
    <row r="39" spans="1:13" ht="46.5" customHeight="1" thickBot="1" x14ac:dyDescent="0.3">
      <c r="A39" s="1334"/>
      <c r="B39" s="245" t="s">
        <v>626</v>
      </c>
      <c r="C39" s="259" t="str">
        <f>VLOOKUP($B39,Activities!$A$10:$P$152,3,FALSE)</f>
        <v>Purchase and single application of ground ameliorants (e.g. gypsum)</v>
      </c>
      <c r="D39" s="239" t="s">
        <v>49</v>
      </c>
      <c r="E39" s="240"/>
      <c r="F39" s="246" t="str">
        <f>VLOOKUP($B39,Activities!$A$10:$P$152,4,FALSE)</f>
        <v>Ha</v>
      </c>
      <c r="G39" s="1269"/>
      <c r="H39" s="1270"/>
      <c r="I39" s="273">
        <f>VLOOKUP($B39,Activities!$A$10:$S$152,16,FALSE)</f>
        <v>877.38983538153695</v>
      </c>
      <c r="J39" s="269"/>
      <c r="K39" s="388">
        <f t="shared" si="9"/>
        <v>0</v>
      </c>
      <c r="L39" s="248" t="str">
        <f t="shared" si="10"/>
        <v>0.0%</v>
      </c>
      <c r="M39" s="290" t="str">
        <f>VLOOKUP($B39,Activities!$A$10:$S$152,19,FALSE)</f>
        <v>This Activity includes the purchase and single application of ground ameliorants (e.g. gypsum).</v>
      </c>
    </row>
    <row r="40" spans="1:13" ht="46.5" customHeight="1" thickBot="1" x14ac:dyDescent="0.3">
      <c r="A40" s="1334"/>
      <c r="B40" s="245" t="s">
        <v>627</v>
      </c>
      <c r="C40" s="259" t="str">
        <f>VLOOKUP($B40,Activities!$A$10:$P$152,3,FALSE)</f>
        <v>The purchase only of non-native pasture grasses</v>
      </c>
      <c r="D40" s="239" t="s">
        <v>49</v>
      </c>
      <c r="E40" s="240"/>
      <c r="F40" s="246" t="str">
        <f>VLOOKUP($B40,Activities!$A$10:$P$152,4,FALSE)</f>
        <v>Ha</v>
      </c>
      <c r="G40" s="1269"/>
      <c r="H40" s="1270"/>
      <c r="I40" s="273">
        <f>VLOOKUP($B40,Activities!$A$10:$S$152,16,FALSE)</f>
        <v>1774.5180283018869</v>
      </c>
      <c r="J40" s="269"/>
      <c r="K40" s="388">
        <f t="shared" si="9"/>
        <v>0</v>
      </c>
      <c r="L40" s="248" t="str">
        <f t="shared" si="10"/>
        <v>0.0%</v>
      </c>
      <c r="M40" s="290" t="str">
        <f>VLOOKUP($B40,Activities!$A$10:$S$152,19,FALSE)</f>
        <v>This activity covers the purchase of non-native pasture grasses</v>
      </c>
    </row>
    <row r="41" spans="1:13" ht="46.5" customHeight="1" thickBot="1" x14ac:dyDescent="0.3">
      <c r="A41" s="1334"/>
      <c r="B41" s="245" t="s">
        <v>628</v>
      </c>
      <c r="C41" s="259" t="str">
        <f>VLOOKUP($B41,Activities!$A$10:$P$152,3,FALSE)</f>
        <v>The purchase only of general native seed mix</v>
      </c>
      <c r="D41" s="239" t="s">
        <v>49</v>
      </c>
      <c r="E41" s="240"/>
      <c r="F41" s="246" t="str">
        <f>VLOOKUP($B41,Activities!$A$10:$P$152,4,FALSE)</f>
        <v>Ha</v>
      </c>
      <c r="G41" s="1269"/>
      <c r="H41" s="1270"/>
      <c r="I41" s="273">
        <f>VLOOKUP($B41,Activities!$A$10:$S$152,16,FALSE)</f>
        <v>3439.8717452830197</v>
      </c>
      <c r="J41" s="269"/>
      <c r="K41" s="388">
        <f t="shared" si="9"/>
        <v>0</v>
      </c>
      <c r="L41" s="248" t="str">
        <f t="shared" si="10"/>
        <v>0.0%</v>
      </c>
      <c r="M41" s="290" t="str">
        <f>VLOOKUP($B41,Activities!$A$10:$S$152,19,FALSE)</f>
        <v>This activity covers the purchase of general native seed mix</v>
      </c>
    </row>
    <row r="42" spans="1:13" ht="46.5" customHeight="1" thickBot="1" x14ac:dyDescent="0.3">
      <c r="A42" s="1334"/>
      <c r="B42" s="245" t="s">
        <v>629</v>
      </c>
      <c r="C42" s="259" t="str">
        <f>VLOOKUP($B42,Activities!$A$10:$P$152,3,FALSE)</f>
        <v>The purchase only of local provenance native seed mix</v>
      </c>
      <c r="D42" s="239" t="s">
        <v>49</v>
      </c>
      <c r="E42" s="240"/>
      <c r="F42" s="246" t="str">
        <f>VLOOKUP($B42,Activities!$A$10:$P$152,4,FALSE)</f>
        <v>Ha</v>
      </c>
      <c r="G42" s="1269"/>
      <c r="H42" s="1270"/>
      <c r="I42" s="273">
        <f>VLOOKUP($B42,Activities!$A$10:$S$152,16,FALSE)</f>
        <v>10525.680933962265</v>
      </c>
      <c r="J42" s="269"/>
      <c r="K42" s="388">
        <f t="shared" si="9"/>
        <v>0</v>
      </c>
      <c r="L42" s="248" t="str">
        <f t="shared" si="10"/>
        <v>0.0%</v>
      </c>
      <c r="M42" s="290" t="str">
        <f>VLOOKUP($B42,Activities!$A$10:$S$152,19,FALSE)</f>
        <v>This activity covers the purchase of local provenance native seed mix</v>
      </c>
    </row>
    <row r="43" spans="1:13" ht="46.5" customHeight="1" thickBot="1" x14ac:dyDescent="0.3">
      <c r="A43" s="1334"/>
      <c r="B43" s="245" t="s">
        <v>630</v>
      </c>
      <c r="C43" s="259" t="str">
        <f>VLOOKUP($B43,Activities!$A$10:$P$152,3,FALSE)</f>
        <v>The purchase only of fertiliser for broadcast application</v>
      </c>
      <c r="D43" s="239" t="s">
        <v>49</v>
      </c>
      <c r="E43" s="240"/>
      <c r="F43" s="246" t="str">
        <f>VLOOKUP($B43,Activities!$A$10:$P$152,4,FALSE)</f>
        <v>Ha</v>
      </c>
      <c r="G43" s="1269"/>
      <c r="H43" s="1270"/>
      <c r="I43" s="273">
        <f>VLOOKUP($B43,Activities!$A$10:$S$152,16,FALSE)</f>
        <v>613.30500000000006</v>
      </c>
      <c r="J43" s="269"/>
      <c r="K43" s="388">
        <f t="shared" si="9"/>
        <v>0</v>
      </c>
      <c r="L43" s="248" t="str">
        <f t="shared" si="10"/>
        <v>0.0%</v>
      </c>
      <c r="M43" s="290" t="str">
        <f>VLOOKUP($B43,Activities!$A$10:$S$152,19,FALSE)</f>
        <v>This activity covers the purchase of local fertiliser for broadcast application.  It does not inlcude the application.</v>
      </c>
    </row>
    <row r="44" spans="1:13" ht="46.5" customHeight="1" thickBot="1" x14ac:dyDescent="0.3">
      <c r="A44" s="1334"/>
      <c r="B44" s="245" t="s">
        <v>631</v>
      </c>
      <c r="C44" s="259" t="str">
        <f>VLOOKUP($B44,Activities!$A$10:$P$152,3,FALSE)</f>
        <v>The purchase of native tubestock (including slow release fertiliser)</v>
      </c>
      <c r="D44" s="239" t="s">
        <v>49</v>
      </c>
      <c r="E44" s="240"/>
      <c r="F44" s="246" t="str">
        <f>VLOOKUP($B44,Activities!$A$10:$P$152,4,FALSE)</f>
        <v>Ha</v>
      </c>
      <c r="G44" s="1269"/>
      <c r="H44" s="1270"/>
      <c r="I44" s="273">
        <f>VLOOKUP($B44,Activities!$A$10:$S$152,16,FALSE)</f>
        <v>19729.952830188682</v>
      </c>
      <c r="J44" s="269"/>
      <c r="K44" s="388">
        <f t="shared" si="9"/>
        <v>0</v>
      </c>
      <c r="L44" s="248" t="str">
        <f t="shared" si="10"/>
        <v>0.0%</v>
      </c>
      <c r="M44" s="290" t="str">
        <f>VLOOKUP($B44,Activities!$A$10:$S$152,19,FALSE)</f>
        <v>The Activity includes the purchase of native tubestock (including slow release fertiliser).  It does not include planting.</v>
      </c>
    </row>
    <row r="45" spans="1:13" ht="46.5" customHeight="1" thickBot="1" x14ac:dyDescent="0.3">
      <c r="A45" s="1334"/>
      <c r="B45" s="245" t="s">
        <v>632</v>
      </c>
      <c r="C45" s="259" t="str">
        <f>VLOOKUP($B45,Activities!$A$10:$P$152,3,FALSE)</f>
        <v>Direct seeding along rip line or mechanical broadcast seeding</v>
      </c>
      <c r="D45" s="239" t="s">
        <v>49</v>
      </c>
      <c r="E45" s="240"/>
      <c r="F45" s="246" t="str">
        <f>VLOOKUP($B45,Activities!$A$10:$P$152,4,FALSE)</f>
        <v>Ha</v>
      </c>
      <c r="G45" s="1269"/>
      <c r="H45" s="1270"/>
      <c r="I45" s="273">
        <f>VLOOKUP($B45,Activities!$A$10:$S$152,16,FALSE)</f>
        <v>2100.7838269402318</v>
      </c>
      <c r="J45" s="269"/>
      <c r="K45" s="388">
        <f t="shared" si="9"/>
        <v>0</v>
      </c>
      <c r="L45" s="248" t="str">
        <f t="shared" si="10"/>
        <v>0.0%</v>
      </c>
      <c r="M45" s="290" t="str">
        <f>VLOOKUP($B45,Activities!$A$10:$S$152,19,FALSE)</f>
        <v>Sowing of separately purchased seed and or fertiliser for broadcast application that involves scattering seed, by hand or mechanically, over a relatively large area.</v>
      </c>
    </row>
    <row r="46" spans="1:13" ht="46.5" customHeight="1" thickBot="1" x14ac:dyDescent="0.3">
      <c r="A46" s="1334"/>
      <c r="B46" s="245" t="s">
        <v>633</v>
      </c>
      <c r="C46" s="259" t="str">
        <f>VLOOKUP($B46,Activities!$A$10:$P$152,3,FALSE)</f>
        <v>Hydromulching (does not include seed or fertiliser)</v>
      </c>
      <c r="D46" s="239" t="s">
        <v>49</v>
      </c>
      <c r="E46" s="240"/>
      <c r="F46" s="246" t="str">
        <f>VLOOKUP($B46,Activities!$A$10:$P$152,4,FALSE)</f>
        <v>Ha</v>
      </c>
      <c r="G46" s="1269"/>
      <c r="H46" s="1270"/>
      <c r="I46" s="273">
        <f>VLOOKUP($B46,Activities!$A$10:$S$152,16,FALSE)</f>
        <v>1583.2664818030244</v>
      </c>
      <c r="J46" s="269"/>
      <c r="K46" s="388">
        <f t="shared" si="9"/>
        <v>0</v>
      </c>
      <c r="L46" s="248" t="str">
        <f t="shared" si="10"/>
        <v>0.0%</v>
      </c>
      <c r="M46" s="290" t="str">
        <f>VLOOKUP($B46,Activities!$A$10:$S$152,19,FALSE)</f>
        <v>Hydromulching planting process that uses a slurry of seed and mulch. It is often used as an erosion control technique as an alternative to the traditional process of broadcasting or sowing dry seed.</v>
      </c>
    </row>
    <row r="47" spans="1:13" ht="46.5" customHeight="1" thickBot="1" x14ac:dyDescent="0.3">
      <c r="A47" s="1334"/>
      <c r="B47" s="245" t="s">
        <v>717</v>
      </c>
      <c r="C47" s="259" t="str">
        <f>VLOOKUP($B47,Activities!$A$10:$P$152,3,FALSE)</f>
        <v>Planting of tubestock &lt;15cm (assumes 1,000 plants per hectare)</v>
      </c>
      <c r="D47" s="239" t="s">
        <v>49</v>
      </c>
      <c r="E47" s="240"/>
      <c r="F47" s="246" t="str">
        <f>VLOOKUP($B47,Activities!$A$10:$P$152,4,FALSE)</f>
        <v>Ha</v>
      </c>
      <c r="G47" s="1269"/>
      <c r="H47" s="1270"/>
      <c r="I47" s="273">
        <f>VLOOKUP($B47,Activities!$A$10:$S$152,16,FALSE)</f>
        <v>1714.118869047619</v>
      </c>
      <c r="J47" s="269"/>
      <c r="K47" s="388">
        <f t="shared" si="9"/>
        <v>0</v>
      </c>
      <c r="L47" s="248" t="str">
        <f t="shared" si="10"/>
        <v>0.0%</v>
      </c>
      <c r="M47" s="290" t="str">
        <f>VLOOKUP($B47,Activities!$A$10:$S$152,19,FALSE)</f>
        <v>This Activity covers the hand planting of tubestock plants across a broad area.</v>
      </c>
    </row>
    <row r="48" spans="1:13" ht="66" customHeight="1" thickBot="1" x14ac:dyDescent="0.3">
      <c r="A48" s="1335"/>
      <c r="B48" s="245" t="s">
        <v>25</v>
      </c>
      <c r="C48" s="259" t="str">
        <f>VLOOKUP($B48,Activities!$A$10:$P$152,3,FALSE)</f>
        <v xml:space="preserve">Construction of a stock proof fence including appropriate gates </v>
      </c>
      <c r="D48" s="239" t="s">
        <v>49</v>
      </c>
      <c r="E48" s="240"/>
      <c r="F48" s="246" t="str">
        <f>VLOOKUP($B48,Activities!$A$10:$P$152,4,FALSE)</f>
        <v>km</v>
      </c>
      <c r="G48" s="1269"/>
      <c r="H48" s="1270"/>
      <c r="I48" s="273">
        <f>VLOOKUP($B48,Activities!$A$10:$S$152,16,FALSE)</f>
        <v>13302.992584007126</v>
      </c>
      <c r="J48" s="269"/>
      <c r="K48" s="388">
        <f t="shared" si="9"/>
        <v>0</v>
      </c>
      <c r="L48" s="248" t="str">
        <f t="shared" si="10"/>
        <v>0.0%</v>
      </c>
      <c r="M48" s="290" t="str">
        <f>VLOOKUP($B48,Activities!$A$10:$S$152,19,FALSE)</f>
        <v>This activity involves the construction of a stock proof fence to protect revegetation against stock and to provide an obstacle to persons to prevent inadvertant access.  It is not designed to prevent a person climbing over it.  It includes an allowance for gates.</v>
      </c>
    </row>
    <row r="49" spans="1:13" ht="15.75" thickBot="1" x14ac:dyDescent="0.3">
      <c r="A49" s="293" t="s">
        <v>53</v>
      </c>
      <c r="B49" s="345" t="str">
        <f>A37</f>
        <v>Topsoil Preparation and Revegetation of Tailings Area</v>
      </c>
      <c r="C49" s="251"/>
      <c r="D49" s="252"/>
      <c r="E49" s="253"/>
      <c r="F49" s="252"/>
      <c r="G49" s="252"/>
      <c r="H49" s="252"/>
      <c r="I49" s="254"/>
      <c r="J49" s="255"/>
      <c r="K49" s="256">
        <f>SUM(K37:K48)</f>
        <v>0</v>
      </c>
      <c r="L49" s="252"/>
      <c r="M49" s="301"/>
    </row>
    <row r="50" spans="1:13" ht="51" customHeight="1" thickBot="1" x14ac:dyDescent="0.3">
      <c r="A50" s="1333" t="s">
        <v>65</v>
      </c>
      <c r="B50" s="270"/>
      <c r="C50" s="218" t="s">
        <v>55</v>
      </c>
      <c r="D50" s="239" t="s">
        <v>49</v>
      </c>
      <c r="E50" s="346"/>
      <c r="F50" s="296"/>
      <c r="G50" s="1269"/>
      <c r="H50" s="1270"/>
      <c r="I50" s="355" t="s">
        <v>475</v>
      </c>
      <c r="J50" s="269"/>
      <c r="K50" s="388">
        <f>IF(D50="Y",J50*E50,"")</f>
        <v>0</v>
      </c>
      <c r="L50" s="248" t="str">
        <f>IFERROR(IF(D50="Y",K50/$K$55,0%),"0.0%")</f>
        <v>0.0%</v>
      </c>
      <c r="M50" s="169" t="s">
        <v>68</v>
      </c>
    </row>
    <row r="51" spans="1:13" ht="51" customHeight="1" thickBot="1" x14ac:dyDescent="0.3">
      <c r="A51" s="1334"/>
      <c r="B51" s="270"/>
      <c r="C51" s="218" t="s">
        <v>55</v>
      </c>
      <c r="D51" s="239" t="s">
        <v>49</v>
      </c>
      <c r="E51" s="346"/>
      <c r="F51" s="296"/>
      <c r="G51" s="1269"/>
      <c r="H51" s="1270"/>
      <c r="I51" s="355" t="s">
        <v>475</v>
      </c>
      <c r="J51" s="269"/>
      <c r="K51" s="388">
        <f>IF(D51="Y",J51*E51,"")</f>
        <v>0</v>
      </c>
      <c r="L51" s="248" t="str">
        <f>IFERROR(IF(D51="Y",K51/$K$55,0%),"0.0%")</f>
        <v>0.0%</v>
      </c>
      <c r="M51" s="169" t="s">
        <v>68</v>
      </c>
    </row>
    <row r="52" spans="1:13" ht="51" customHeight="1" thickBot="1" x14ac:dyDescent="0.3">
      <c r="A52" s="1335"/>
      <c r="B52" s="270"/>
      <c r="C52" s="218" t="s">
        <v>55</v>
      </c>
      <c r="D52" s="239" t="s">
        <v>49</v>
      </c>
      <c r="E52" s="346"/>
      <c r="F52" s="296"/>
      <c r="G52" s="1269"/>
      <c r="H52" s="1270"/>
      <c r="I52" s="355" t="s">
        <v>475</v>
      </c>
      <c r="J52" s="269"/>
      <c r="K52" s="388">
        <f>IF(D52="Y",J52*E52,"")</f>
        <v>0</v>
      </c>
      <c r="L52" s="248" t="str">
        <f>IFERROR(IF(D52="Y",K52/$K$55,0%),"0.0%")</f>
        <v>0.0%</v>
      </c>
      <c r="M52" s="169" t="s">
        <v>68</v>
      </c>
    </row>
    <row r="53" spans="1:13" ht="15.75" thickBot="1" x14ac:dyDescent="0.3">
      <c r="A53" s="293" t="s">
        <v>53</v>
      </c>
      <c r="B53" s="345" t="str">
        <f>A50</f>
        <v>Other Activity in Tailings Area Specific to this Operation</v>
      </c>
      <c r="C53" s="251"/>
      <c r="D53" s="252"/>
      <c r="E53" s="253"/>
      <c r="F53" s="252"/>
      <c r="G53" s="252"/>
      <c r="H53" s="252"/>
      <c r="I53" s="254"/>
      <c r="J53" s="255"/>
      <c r="K53" s="256">
        <f>SUM(K50:K52)</f>
        <v>0</v>
      </c>
      <c r="L53" s="252"/>
      <c r="M53" s="257"/>
    </row>
    <row r="54" spans="1:13" x14ac:dyDescent="0.25">
      <c r="A54" s="260"/>
      <c r="B54" s="260"/>
      <c r="C54" s="261"/>
      <c r="D54" s="262"/>
      <c r="E54" s="263"/>
      <c r="F54" s="262"/>
      <c r="G54" s="262"/>
      <c r="H54" s="262"/>
      <c r="I54" s="264"/>
      <c r="J54" s="265"/>
      <c r="K54" s="266"/>
      <c r="L54" s="262"/>
      <c r="M54" s="261"/>
    </row>
    <row r="55" spans="1:13" ht="21" x14ac:dyDescent="0.25">
      <c r="A55" s="260"/>
      <c r="B55" s="260"/>
      <c r="C55" s="261"/>
      <c r="D55" s="262"/>
      <c r="E55" s="263"/>
      <c r="F55" s="262"/>
      <c r="G55" s="262"/>
      <c r="H55" s="262"/>
      <c r="J55" s="267" t="s">
        <v>931</v>
      </c>
      <c r="K55" s="268">
        <f>K53+K49+K36+K30+K27</f>
        <v>0</v>
      </c>
      <c r="L55" s="262"/>
      <c r="M55" s="261"/>
    </row>
    <row r="56" spans="1:13" x14ac:dyDescent="0.25">
      <c r="A56" s="260"/>
      <c r="B56" s="260"/>
      <c r="C56" s="261"/>
      <c r="D56" s="262"/>
      <c r="E56" s="263"/>
      <c r="F56" s="262"/>
      <c r="G56" s="262"/>
      <c r="H56" s="262"/>
      <c r="I56" s="264"/>
      <c r="J56" s="265"/>
      <c r="K56" s="266"/>
      <c r="L56" s="262"/>
      <c r="M56" s="261"/>
    </row>
    <row r="57" spans="1:13" x14ac:dyDescent="0.25">
      <c r="A57" s="260"/>
      <c r="B57" s="260"/>
      <c r="C57" s="261"/>
      <c r="D57" s="262"/>
      <c r="E57" s="263"/>
      <c r="F57" s="262"/>
      <c r="G57" s="262"/>
      <c r="H57" s="262"/>
      <c r="I57" s="264"/>
      <c r="J57" s="265"/>
      <c r="K57" s="266"/>
      <c r="L57" s="262"/>
      <c r="M57" s="261"/>
    </row>
    <row r="58" spans="1:13" x14ac:dyDescent="0.25">
      <c r="A58" s="260"/>
      <c r="B58" s="260"/>
      <c r="C58" s="261"/>
      <c r="D58" s="262"/>
      <c r="E58" s="263"/>
      <c r="F58" s="262"/>
      <c r="G58" s="262"/>
      <c r="H58" s="262"/>
      <c r="I58" s="264"/>
      <c r="J58" s="265"/>
      <c r="K58" s="266"/>
      <c r="L58" s="262"/>
      <c r="M58" s="261"/>
    </row>
    <row r="59" spans="1:13" x14ac:dyDescent="0.25">
      <c r="A59" s="260"/>
      <c r="B59" s="260"/>
      <c r="C59" s="261"/>
      <c r="D59" s="262"/>
      <c r="E59" s="263"/>
      <c r="F59" s="262"/>
      <c r="G59" s="262"/>
      <c r="H59" s="262"/>
      <c r="I59" s="264"/>
      <c r="J59" s="265"/>
      <c r="K59" s="266"/>
      <c r="L59" s="262"/>
      <c r="M59" s="261"/>
    </row>
    <row r="60" spans="1:13" ht="15.75" x14ac:dyDescent="0.25">
      <c r="A60" s="260"/>
      <c r="B60" s="260"/>
      <c r="C60" s="261"/>
      <c r="D60" s="262"/>
      <c r="E60" s="303"/>
      <c r="F60" s="262"/>
      <c r="G60" s="262"/>
      <c r="H60" s="262"/>
      <c r="I60" s="264"/>
      <c r="J60" s="265"/>
      <c r="K60" s="266"/>
      <c r="L60" s="262"/>
      <c r="M60" s="261"/>
    </row>
    <row r="61" spans="1:13" x14ac:dyDescent="0.25">
      <c r="A61" s="260"/>
      <c r="B61" s="260"/>
      <c r="C61" s="261"/>
      <c r="D61" s="262"/>
      <c r="E61" s="263"/>
      <c r="F61" s="262"/>
      <c r="G61" s="262"/>
      <c r="H61" s="262"/>
      <c r="I61" s="264"/>
      <c r="J61" s="265"/>
      <c r="K61" s="266"/>
      <c r="L61" s="262"/>
      <c r="M61" s="261"/>
    </row>
    <row r="62" spans="1:13" x14ac:dyDescent="0.25">
      <c r="A62" s="260"/>
      <c r="B62" s="260"/>
      <c r="C62" s="261"/>
      <c r="D62" s="262"/>
      <c r="E62" s="263"/>
      <c r="F62" s="262"/>
      <c r="G62" s="262"/>
      <c r="H62" s="262"/>
      <c r="I62" s="264"/>
      <c r="J62" s="265"/>
      <c r="K62" s="266"/>
      <c r="L62" s="262"/>
      <c r="M62" s="261"/>
    </row>
    <row r="63" spans="1:13" x14ac:dyDescent="0.25">
      <c r="A63" s="260"/>
      <c r="B63" s="260"/>
      <c r="C63" s="261"/>
      <c r="D63" s="262"/>
      <c r="E63" s="263"/>
      <c r="F63" s="262"/>
      <c r="G63" s="262"/>
      <c r="H63" s="262"/>
      <c r="I63" s="264"/>
      <c r="J63" s="265"/>
      <c r="K63" s="266"/>
      <c r="L63" s="262"/>
      <c r="M63" s="261"/>
    </row>
    <row r="64" spans="1:13" x14ac:dyDescent="0.25">
      <c r="A64" s="260"/>
      <c r="B64" s="260"/>
      <c r="C64" s="261"/>
      <c r="D64" s="262"/>
      <c r="E64" s="263"/>
      <c r="F64" s="262"/>
      <c r="G64" s="262"/>
      <c r="H64" s="262"/>
      <c r="I64" s="264"/>
      <c r="J64" s="265"/>
      <c r="K64" s="266"/>
      <c r="L64" s="262"/>
      <c r="M64" s="261"/>
    </row>
    <row r="65" spans="1:13" x14ac:dyDescent="0.25">
      <c r="A65" s="260"/>
      <c r="B65" s="260"/>
      <c r="C65" s="261"/>
      <c r="D65" s="262"/>
      <c r="E65" s="263"/>
      <c r="F65" s="262"/>
      <c r="G65" s="262"/>
      <c r="H65" s="262"/>
      <c r="I65" s="264"/>
      <c r="J65" s="265"/>
      <c r="K65" s="266"/>
      <c r="L65" s="262"/>
      <c r="M65" s="261"/>
    </row>
    <row r="66" spans="1:13" x14ac:dyDescent="0.25">
      <c r="A66" s="260"/>
      <c r="B66" s="260"/>
      <c r="C66" s="261"/>
      <c r="D66" s="262"/>
      <c r="E66" s="263"/>
      <c r="F66" s="262"/>
      <c r="G66" s="262"/>
      <c r="H66" s="262"/>
      <c r="I66" s="264"/>
      <c r="J66" s="265"/>
      <c r="K66" s="266"/>
      <c r="L66" s="262"/>
      <c r="M66" s="261"/>
    </row>
    <row r="67" spans="1:13" x14ac:dyDescent="0.25">
      <c r="A67" s="260"/>
      <c r="B67" s="260"/>
      <c r="C67" s="261"/>
      <c r="D67" s="262"/>
      <c r="E67" s="262"/>
      <c r="F67" s="262"/>
      <c r="G67" s="262"/>
      <c r="H67" s="262"/>
      <c r="I67" s="264"/>
      <c r="J67" s="265"/>
      <c r="K67" s="266"/>
      <c r="L67" s="262"/>
      <c r="M67" s="261"/>
    </row>
    <row r="68" spans="1:13" x14ac:dyDescent="0.25">
      <c r="A68" s="260"/>
      <c r="B68" s="260"/>
      <c r="C68" s="261"/>
      <c r="D68" s="262"/>
      <c r="E68" s="262"/>
      <c r="F68" s="262"/>
      <c r="G68" s="262"/>
      <c r="H68" s="262"/>
      <c r="I68" s="264"/>
      <c r="J68" s="265"/>
      <c r="K68" s="266"/>
      <c r="L68" s="262"/>
      <c r="M68" s="261"/>
    </row>
    <row r="69" spans="1:13" x14ac:dyDescent="0.25">
      <c r="C69" s="261"/>
      <c r="D69" s="262"/>
      <c r="E69" s="262"/>
      <c r="F69" s="262"/>
      <c r="G69" s="262"/>
      <c r="H69" s="262"/>
      <c r="I69" s="264"/>
      <c r="J69" s="265"/>
      <c r="K69" s="262"/>
      <c r="L69" s="262"/>
      <c r="M69" s="261"/>
    </row>
    <row r="70" spans="1:13" x14ac:dyDescent="0.25">
      <c r="C70" s="261"/>
      <c r="D70" s="262"/>
      <c r="E70" s="262"/>
      <c r="F70" s="262"/>
      <c r="G70" s="262"/>
      <c r="H70" s="262"/>
      <c r="I70" s="264"/>
      <c r="J70" s="265"/>
      <c r="K70" s="262"/>
      <c r="L70" s="262"/>
      <c r="M70" s="261"/>
    </row>
    <row r="71" spans="1:13" x14ac:dyDescent="0.25">
      <c r="C71" s="261"/>
      <c r="D71" s="262"/>
      <c r="E71" s="262"/>
      <c r="F71" s="262"/>
      <c r="G71" s="262"/>
      <c r="H71" s="262"/>
      <c r="I71" s="262"/>
      <c r="J71" s="262"/>
      <c r="K71" s="262"/>
      <c r="L71" s="262"/>
      <c r="M71" s="261"/>
    </row>
    <row r="72" spans="1:13" x14ac:dyDescent="0.25">
      <c r="D72" s="262"/>
      <c r="E72" s="262"/>
      <c r="F72" s="262"/>
      <c r="G72" s="262"/>
      <c r="H72" s="262"/>
      <c r="I72" s="262"/>
      <c r="J72" s="262"/>
      <c r="K72" s="262"/>
      <c r="L72" s="262"/>
    </row>
    <row r="73" spans="1:13" x14ac:dyDescent="0.25">
      <c r="D73" s="262"/>
      <c r="E73" s="262"/>
      <c r="F73" s="262"/>
      <c r="G73" s="262"/>
      <c r="H73" s="262"/>
      <c r="I73" s="262"/>
      <c r="J73" s="262"/>
      <c r="K73" s="262"/>
      <c r="L73" s="262"/>
    </row>
    <row r="74" spans="1:13" x14ac:dyDescent="0.25">
      <c r="D74" s="262"/>
      <c r="E74" s="262"/>
      <c r="F74" s="262"/>
      <c r="G74" s="262"/>
      <c r="H74" s="262"/>
      <c r="I74" s="262"/>
      <c r="J74" s="262"/>
      <c r="K74" s="262"/>
      <c r="L74" s="262"/>
    </row>
    <row r="75" spans="1:13" x14ac:dyDescent="0.25">
      <c r="D75" s="262"/>
      <c r="E75" s="262"/>
      <c r="F75" s="262"/>
      <c r="G75" s="262"/>
      <c r="H75" s="262"/>
      <c r="I75" s="262"/>
      <c r="J75" s="262"/>
      <c r="K75" s="262"/>
      <c r="L75" s="262"/>
    </row>
    <row r="76" spans="1:13" x14ac:dyDescent="0.25">
      <c r="D76" s="262"/>
      <c r="E76" s="262"/>
      <c r="F76" s="262"/>
      <c r="G76" s="262"/>
      <c r="H76" s="262"/>
      <c r="I76" s="262"/>
      <c r="J76" s="262"/>
      <c r="K76" s="262"/>
      <c r="L76" s="262"/>
    </row>
    <row r="77" spans="1:13" x14ac:dyDescent="0.25">
      <c r="D77" s="262"/>
      <c r="E77" s="262"/>
      <c r="F77" s="262"/>
      <c r="G77" s="262"/>
      <c r="H77" s="262"/>
      <c r="I77" s="262"/>
      <c r="J77" s="262"/>
      <c r="K77" s="262"/>
      <c r="L77" s="262"/>
    </row>
    <row r="78" spans="1:13" x14ac:dyDescent="0.25">
      <c r="D78" s="262"/>
      <c r="E78" s="262"/>
      <c r="F78" s="262"/>
      <c r="G78" s="262"/>
      <c r="H78" s="262"/>
      <c r="I78" s="262"/>
      <c r="J78" s="262"/>
      <c r="K78" s="262"/>
      <c r="L78" s="262"/>
    </row>
    <row r="79" spans="1:13" x14ac:dyDescent="0.25">
      <c r="D79" s="262"/>
      <c r="E79" s="262"/>
      <c r="F79" s="262"/>
      <c r="G79" s="262"/>
      <c r="H79" s="262"/>
      <c r="I79" s="262"/>
      <c r="J79" s="262"/>
      <c r="K79" s="262"/>
      <c r="L79" s="262"/>
    </row>
    <row r="80" spans="1:13" x14ac:dyDescent="0.25">
      <c r="D80" s="262"/>
      <c r="E80" s="262"/>
      <c r="F80" s="262"/>
      <c r="G80" s="262"/>
      <c r="H80" s="262"/>
      <c r="I80" s="262"/>
      <c r="J80" s="262"/>
      <c r="K80" s="262"/>
      <c r="L80" s="262"/>
    </row>
    <row r="81" spans="4:12" x14ac:dyDescent="0.25">
      <c r="D81" s="262"/>
      <c r="E81" s="262"/>
      <c r="F81" s="262"/>
      <c r="G81" s="262"/>
      <c r="H81" s="262"/>
      <c r="I81" s="262"/>
      <c r="J81" s="262"/>
      <c r="K81" s="262"/>
      <c r="L81" s="262"/>
    </row>
    <row r="82" spans="4:12" x14ac:dyDescent="0.25">
      <c r="D82" s="262"/>
      <c r="E82" s="262"/>
      <c r="F82" s="262"/>
      <c r="G82" s="262"/>
      <c r="H82" s="262"/>
      <c r="I82" s="262"/>
      <c r="J82" s="262"/>
      <c r="K82" s="262"/>
      <c r="L82" s="262"/>
    </row>
    <row r="83" spans="4:12" x14ac:dyDescent="0.25">
      <c r="D83" s="262"/>
      <c r="E83" s="262"/>
      <c r="F83" s="262"/>
      <c r="G83" s="262"/>
      <c r="H83" s="262"/>
      <c r="I83" s="262"/>
      <c r="J83" s="262"/>
      <c r="K83" s="262"/>
      <c r="L83" s="262"/>
    </row>
  </sheetData>
  <sheetProtection algorithmName="SHA-512" hashValue="M39nZkcjwp6p5ih/yofxACHWvgg/LdT9gtH0fWOdNL2EC+w31wH+zSyYoz0eCnHer0VCO9sIa9N5bRpyOiYoqA==" saltValue="CBWKRzAgSBaJDno/iRV1jw==" spinCount="100000" sheet="1" formatCells="0" formatRows="0" selectLockedCells="1"/>
  <mergeCells count="54">
    <mergeCell ref="A5:E6"/>
    <mergeCell ref="G5:J5"/>
    <mergeCell ref="G6:M7"/>
    <mergeCell ref="B7:E7"/>
    <mergeCell ref="A1:B1"/>
    <mergeCell ref="C1:E1"/>
    <mergeCell ref="K1:L1"/>
    <mergeCell ref="C2:E2"/>
    <mergeCell ref="C3:E3"/>
    <mergeCell ref="F1:J3"/>
    <mergeCell ref="B8:E8"/>
    <mergeCell ref="G8:M19"/>
    <mergeCell ref="B9:E9"/>
    <mergeCell ref="B10:E10"/>
    <mergeCell ref="B11:E11"/>
    <mergeCell ref="B12:E12"/>
    <mergeCell ref="A14:B14"/>
    <mergeCell ref="C14:E14"/>
    <mergeCell ref="A15:B15"/>
    <mergeCell ref="C15:E15"/>
    <mergeCell ref="A16:E19"/>
    <mergeCell ref="A22:A26"/>
    <mergeCell ref="G24:H24"/>
    <mergeCell ref="G26:H26"/>
    <mergeCell ref="G25:H25"/>
    <mergeCell ref="G23:H23"/>
    <mergeCell ref="A50:A52"/>
    <mergeCell ref="G50:H50"/>
    <mergeCell ref="G51:H51"/>
    <mergeCell ref="G52:H52"/>
    <mergeCell ref="A28:A29"/>
    <mergeCell ref="G28:H28"/>
    <mergeCell ref="G29:H29"/>
    <mergeCell ref="A31:A35"/>
    <mergeCell ref="G31:H31"/>
    <mergeCell ref="G35:H35"/>
    <mergeCell ref="A37:A48"/>
    <mergeCell ref="G38:H38"/>
    <mergeCell ref="G46:H46"/>
    <mergeCell ref="G47:H47"/>
    <mergeCell ref="G48:H48"/>
    <mergeCell ref="G32:H32"/>
    <mergeCell ref="G39:H39"/>
    <mergeCell ref="G40:H40"/>
    <mergeCell ref="L20:M20"/>
    <mergeCell ref="G21:H21"/>
    <mergeCell ref="R1:V1"/>
    <mergeCell ref="R8:V8"/>
    <mergeCell ref="R16:V16"/>
    <mergeCell ref="G41:H41"/>
    <mergeCell ref="G42:H42"/>
    <mergeCell ref="G43:H43"/>
    <mergeCell ref="G44:H44"/>
    <mergeCell ref="G45:H45"/>
  </mergeCells>
  <dataValidations count="4">
    <dataValidation type="list" allowBlank="1" showInputMessage="1" showErrorMessage="1" sqref="H37" xr:uid="{00000000-0002-0000-1100-000000000000}">
      <formula1>$U$18:$U$22</formula1>
    </dataValidation>
    <dataValidation type="list" allowBlank="1" showInputMessage="1" showErrorMessage="1" sqref="H33" xr:uid="{00000000-0002-0000-1100-000001000000}">
      <formula1>$U$3:$U$7</formula1>
    </dataValidation>
    <dataValidation type="list" allowBlank="1" showInputMessage="1" showErrorMessage="1" sqref="H34" xr:uid="{00000000-0002-0000-1100-000002000000}">
      <formula1>$U$10:$U$14</formula1>
    </dataValidation>
    <dataValidation type="list" allowBlank="1" showInputMessage="1" showErrorMessage="1" sqref="H22" xr:uid="{00000000-0002-0000-1100-000003000000}">
      <formula1>$X$2:$X$6</formula1>
    </dataValidation>
  </dataValidations>
  <pageMargins left="0.70866141732283472" right="0.70866141732283472" top="0.74803149606299213" bottom="0.74803149606299213" header="0.31496062992125984" footer="0.31496062992125984"/>
  <pageSetup paperSize="9" scale="52" fitToHeight="3" orientation="landscape" r:id="rId1"/>
  <headerFooter>
    <oddHeader>&amp;LDepartment for Energy and Mining&amp;C&amp;"Arial"&amp;12&amp;KA80000 OFFICIAL&amp;1#_x000D_</oddHeader>
    <oddFooter>&amp;L&amp;Z
&amp;F&amp;C&amp;P&amp;R&amp;D</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6:L55"/>
  <sheetViews>
    <sheetView showGridLines="0" topLeftCell="A8" workbookViewId="0">
      <selection activeCell="B15" sqref="B15:C15"/>
    </sheetView>
  </sheetViews>
  <sheetFormatPr defaultColWidth="9.140625" defaultRowHeight="15" x14ac:dyDescent="0.25"/>
  <cols>
    <col min="1" max="1" width="10.7109375" style="185" bestFit="1" customWidth="1"/>
    <col min="2" max="2" width="9.140625" style="185"/>
    <col min="3" max="3" width="31.7109375" style="185" customWidth="1"/>
    <col min="4" max="4" width="13.42578125" style="185" customWidth="1"/>
    <col min="5" max="7" width="9.140625" style="185"/>
    <col min="8" max="8" width="54.42578125" style="185" customWidth="1"/>
    <col min="9" max="16384" width="9.140625" style="185"/>
  </cols>
  <sheetData>
    <row r="6" spans="1:5" ht="26.25" x14ac:dyDescent="0.4">
      <c r="A6" s="209" t="s">
        <v>952</v>
      </c>
    </row>
    <row r="8" spans="1:5" x14ac:dyDescent="0.25">
      <c r="A8" s="185" t="s">
        <v>254</v>
      </c>
    </row>
    <row r="9" spans="1:5" ht="21" x14ac:dyDescent="0.35">
      <c r="E9" s="210">
        <f>B50</f>
        <v>7</v>
      </c>
    </row>
    <row r="15" spans="1:5" x14ac:dyDescent="0.25">
      <c r="A15" s="318" t="s">
        <v>418</v>
      </c>
      <c r="B15" s="1035"/>
      <c r="C15" s="1035"/>
    </row>
    <row r="19" spans="1:12" ht="30" customHeight="1" x14ac:dyDescent="0.25">
      <c r="A19" s="1036" t="s">
        <v>255</v>
      </c>
      <c r="B19" s="1036" t="s">
        <v>256</v>
      </c>
      <c r="C19" s="1036" t="s">
        <v>157</v>
      </c>
      <c r="D19" s="1025" t="s">
        <v>257</v>
      </c>
      <c r="E19" s="1025"/>
      <c r="F19" s="1025"/>
      <c r="G19" s="1025"/>
      <c r="H19" s="1025"/>
      <c r="I19" s="211"/>
      <c r="J19" s="211"/>
      <c r="K19" s="211"/>
      <c r="L19" s="211"/>
    </row>
    <row r="20" spans="1:12" x14ac:dyDescent="0.25">
      <c r="A20" s="1037"/>
      <c r="B20" s="1037"/>
      <c r="C20" s="1037"/>
      <c r="D20" s="212" t="s">
        <v>260</v>
      </c>
      <c r="E20" s="1029" t="s">
        <v>259</v>
      </c>
      <c r="F20" s="1030"/>
      <c r="G20" s="1030"/>
      <c r="H20" s="1031"/>
    </row>
    <row r="21" spans="1:12" x14ac:dyDescent="0.25">
      <c r="A21" s="213">
        <v>41929</v>
      </c>
      <c r="B21" s="214">
        <v>2</v>
      </c>
      <c r="C21" s="215" t="s">
        <v>258</v>
      </c>
      <c r="D21" s="215"/>
      <c r="E21" s="1026"/>
      <c r="F21" s="1027"/>
      <c r="G21" s="1027"/>
      <c r="H21" s="1028"/>
    </row>
    <row r="22" spans="1:12" x14ac:dyDescent="0.25">
      <c r="A22" s="213">
        <v>42055</v>
      </c>
      <c r="B22" s="214">
        <v>2.1</v>
      </c>
      <c r="C22" s="215" t="s">
        <v>349</v>
      </c>
      <c r="D22" s="215" t="s">
        <v>350</v>
      </c>
      <c r="E22" s="1022" t="s">
        <v>351</v>
      </c>
      <c r="F22" s="1023"/>
      <c r="G22" s="1023"/>
      <c r="H22" s="1024"/>
    </row>
    <row r="23" spans="1:12" x14ac:dyDescent="0.25">
      <c r="A23" s="213">
        <v>42102</v>
      </c>
      <c r="B23" s="214">
        <v>2.11</v>
      </c>
      <c r="C23" s="215" t="s">
        <v>388</v>
      </c>
      <c r="D23" s="215" t="s">
        <v>350</v>
      </c>
      <c r="E23" s="1022" t="s">
        <v>389</v>
      </c>
      <c r="F23" s="1023"/>
      <c r="G23" s="1023"/>
      <c r="H23" s="1024"/>
    </row>
    <row r="24" spans="1:12" x14ac:dyDescent="0.25">
      <c r="A24" s="213">
        <v>42202</v>
      </c>
      <c r="B24" s="214">
        <v>2.2000000000000002</v>
      </c>
      <c r="C24" s="215" t="s">
        <v>410</v>
      </c>
      <c r="D24" s="215" t="s">
        <v>350</v>
      </c>
      <c r="E24" s="1022" t="s">
        <v>411</v>
      </c>
      <c r="F24" s="1023"/>
      <c r="G24" s="1023"/>
      <c r="H24" s="1024"/>
    </row>
    <row r="25" spans="1:12" x14ac:dyDescent="0.25">
      <c r="A25" s="213">
        <v>42227</v>
      </c>
      <c r="B25" s="214">
        <v>2.21</v>
      </c>
      <c r="C25" s="215" t="s">
        <v>412</v>
      </c>
      <c r="D25" s="215" t="s">
        <v>350</v>
      </c>
      <c r="E25" s="1022" t="s">
        <v>413</v>
      </c>
      <c r="F25" s="1023"/>
      <c r="G25" s="1023"/>
      <c r="H25" s="1024"/>
    </row>
    <row r="26" spans="1:12" x14ac:dyDescent="0.25">
      <c r="A26" s="213">
        <v>42297</v>
      </c>
      <c r="B26" s="214">
        <v>2.2200000000000002</v>
      </c>
      <c r="C26" s="215" t="s">
        <v>538</v>
      </c>
      <c r="D26" s="215" t="s">
        <v>350</v>
      </c>
      <c r="E26" s="1022" t="s">
        <v>417</v>
      </c>
      <c r="F26" s="1023"/>
      <c r="G26" s="1023"/>
      <c r="H26" s="1024"/>
    </row>
    <row r="27" spans="1:12" x14ac:dyDescent="0.25">
      <c r="A27" s="213">
        <v>42310</v>
      </c>
      <c r="B27" s="214">
        <v>2.3199999999999998</v>
      </c>
      <c r="C27" s="215" t="s">
        <v>432</v>
      </c>
      <c r="D27" s="215" t="s">
        <v>350</v>
      </c>
      <c r="E27" s="1022" t="s">
        <v>433</v>
      </c>
      <c r="F27" s="1023"/>
      <c r="G27" s="1023"/>
      <c r="H27" s="1024"/>
    </row>
    <row r="28" spans="1:12" x14ac:dyDescent="0.25">
      <c r="A28" s="213">
        <v>42324</v>
      </c>
      <c r="B28" s="214">
        <v>2.42</v>
      </c>
      <c r="C28" s="215" t="s">
        <v>457</v>
      </c>
      <c r="D28" s="215" t="s">
        <v>350</v>
      </c>
      <c r="E28" s="1022" t="s">
        <v>458</v>
      </c>
      <c r="F28" s="1023"/>
      <c r="G28" s="1023"/>
      <c r="H28" s="1024"/>
    </row>
    <row r="29" spans="1:12" x14ac:dyDescent="0.25">
      <c r="A29" s="213">
        <v>42361</v>
      </c>
      <c r="B29" s="214">
        <v>3</v>
      </c>
      <c r="C29" s="215" t="s">
        <v>544</v>
      </c>
      <c r="D29" s="215" t="s">
        <v>350</v>
      </c>
      <c r="E29" s="1022" t="s">
        <v>587</v>
      </c>
      <c r="F29" s="1023"/>
      <c r="G29" s="1023"/>
      <c r="H29" s="1024"/>
    </row>
    <row r="30" spans="1:12" x14ac:dyDescent="0.25">
      <c r="A30" s="213">
        <v>42473</v>
      </c>
      <c r="B30" s="214">
        <v>3.01</v>
      </c>
      <c r="C30" s="215" t="s">
        <v>551</v>
      </c>
      <c r="D30" s="215" t="s">
        <v>552</v>
      </c>
      <c r="E30" s="1022" t="s">
        <v>553</v>
      </c>
      <c r="F30" s="1023"/>
      <c r="G30" s="1023"/>
      <c r="H30" s="1024"/>
    </row>
    <row r="31" spans="1:12" ht="61.5" customHeight="1" x14ac:dyDescent="0.25">
      <c r="A31" s="213">
        <v>42647</v>
      </c>
      <c r="B31" s="214">
        <v>4</v>
      </c>
      <c r="C31" s="215" t="s">
        <v>555</v>
      </c>
      <c r="D31" s="215" t="s">
        <v>564</v>
      </c>
      <c r="E31" s="1032" t="s">
        <v>588</v>
      </c>
      <c r="F31" s="1033"/>
      <c r="G31" s="1033"/>
      <c r="H31" s="1034"/>
    </row>
    <row r="32" spans="1:12" x14ac:dyDescent="0.25">
      <c r="A32" s="213">
        <v>42668</v>
      </c>
      <c r="B32" s="214">
        <v>4.01</v>
      </c>
      <c r="C32" s="215" t="s">
        <v>571</v>
      </c>
      <c r="D32" s="215" t="s">
        <v>367</v>
      </c>
      <c r="E32" s="1022" t="s">
        <v>572</v>
      </c>
      <c r="F32" s="1023"/>
      <c r="G32" s="1023"/>
      <c r="H32" s="1024"/>
    </row>
    <row r="33" spans="1:8" ht="33.75" customHeight="1" x14ac:dyDescent="0.25">
      <c r="A33" s="213">
        <v>42828</v>
      </c>
      <c r="B33" s="214">
        <v>4.1100000000000003</v>
      </c>
      <c r="C33" s="215" t="s">
        <v>589</v>
      </c>
      <c r="D33" s="215" t="s">
        <v>361</v>
      </c>
      <c r="E33" s="1032" t="s">
        <v>590</v>
      </c>
      <c r="F33" s="1033"/>
      <c r="G33" s="1033"/>
      <c r="H33" s="1034"/>
    </row>
    <row r="34" spans="1:8" x14ac:dyDescent="0.25">
      <c r="A34" s="213">
        <v>42866</v>
      </c>
      <c r="B34" s="214">
        <v>4.2</v>
      </c>
      <c r="C34" s="215" t="s">
        <v>593</v>
      </c>
      <c r="D34" s="215" t="s">
        <v>594</v>
      </c>
      <c r="E34" s="1022" t="s">
        <v>595</v>
      </c>
      <c r="F34" s="1023"/>
      <c r="G34" s="1023"/>
      <c r="H34" s="1024"/>
    </row>
    <row r="35" spans="1:8" ht="31.5" customHeight="1" x14ac:dyDescent="0.25">
      <c r="A35" s="213">
        <v>43579</v>
      </c>
      <c r="B35" s="214">
        <v>5.0999999999999996</v>
      </c>
      <c r="C35" s="602" t="s">
        <v>915</v>
      </c>
      <c r="D35" s="215" t="s">
        <v>350</v>
      </c>
      <c r="E35" s="1032" t="s">
        <v>916</v>
      </c>
      <c r="F35" s="1033"/>
      <c r="G35" s="1033"/>
      <c r="H35" s="1034"/>
    </row>
    <row r="36" spans="1:8" ht="30" x14ac:dyDescent="0.25">
      <c r="A36" s="213">
        <v>43610</v>
      </c>
      <c r="B36" s="214">
        <v>5.1100000000000003</v>
      </c>
      <c r="C36" s="602" t="s">
        <v>960</v>
      </c>
      <c r="D36" s="602" t="s">
        <v>961</v>
      </c>
      <c r="E36" s="1032" t="s">
        <v>962</v>
      </c>
      <c r="F36" s="1033"/>
      <c r="G36" s="1033"/>
      <c r="H36" s="1034"/>
    </row>
    <row r="37" spans="1:8" ht="30.75" customHeight="1" x14ac:dyDescent="0.25">
      <c r="A37" s="213">
        <v>43647</v>
      </c>
      <c r="B37" s="214">
        <v>5.2</v>
      </c>
      <c r="C37" s="215" t="s">
        <v>1053</v>
      </c>
      <c r="D37" s="215" t="s">
        <v>350</v>
      </c>
      <c r="E37" s="1032" t="s">
        <v>1054</v>
      </c>
      <c r="F37" s="1033"/>
      <c r="G37" s="1033"/>
      <c r="H37" s="1034"/>
    </row>
    <row r="38" spans="1:8" x14ac:dyDescent="0.25">
      <c r="A38" s="213">
        <v>43655</v>
      </c>
      <c r="B38" s="214">
        <v>5.21</v>
      </c>
      <c r="C38" s="215" t="s">
        <v>1055</v>
      </c>
      <c r="D38" s="215" t="s">
        <v>1056</v>
      </c>
      <c r="E38" s="1022" t="s">
        <v>1057</v>
      </c>
      <c r="F38" s="1023"/>
      <c r="G38" s="1023"/>
      <c r="H38" s="1024"/>
    </row>
    <row r="39" spans="1:8" ht="30" x14ac:dyDescent="0.25">
      <c r="A39" s="213">
        <v>44041</v>
      </c>
      <c r="B39" s="214">
        <v>6</v>
      </c>
      <c r="C39" s="602" t="s">
        <v>1165</v>
      </c>
      <c r="D39" s="215" t="s">
        <v>1056</v>
      </c>
      <c r="E39" s="1022" t="s">
        <v>1166</v>
      </c>
      <c r="F39" s="1023"/>
      <c r="G39" s="1023"/>
      <c r="H39" s="1024"/>
    </row>
    <row r="40" spans="1:8" x14ac:dyDescent="0.25">
      <c r="A40" s="213">
        <v>44890</v>
      </c>
      <c r="B40" s="214">
        <v>6.1</v>
      </c>
      <c r="C40" s="215" t="s">
        <v>1172</v>
      </c>
      <c r="D40" s="215" t="s">
        <v>350</v>
      </c>
      <c r="E40" s="1022" t="s">
        <v>1173</v>
      </c>
      <c r="F40" s="1023"/>
      <c r="G40" s="1023"/>
      <c r="H40" s="1024"/>
    </row>
    <row r="41" spans="1:8" x14ac:dyDescent="0.25">
      <c r="A41" s="213">
        <v>45531</v>
      </c>
      <c r="B41" s="214">
        <v>7</v>
      </c>
      <c r="C41" s="215" t="s">
        <v>1256</v>
      </c>
      <c r="D41" s="215" t="s">
        <v>350</v>
      </c>
      <c r="E41" s="1022" t="s">
        <v>1257</v>
      </c>
      <c r="F41" s="1023"/>
      <c r="G41" s="1023"/>
      <c r="H41" s="1024"/>
    </row>
    <row r="42" spans="1:8" x14ac:dyDescent="0.25">
      <c r="A42" s="213"/>
      <c r="B42" s="214"/>
      <c r="C42" s="215"/>
      <c r="D42" s="215"/>
      <c r="E42" s="1026"/>
      <c r="F42" s="1027"/>
      <c r="G42" s="1027"/>
      <c r="H42" s="1028"/>
    </row>
    <row r="43" spans="1:8" x14ac:dyDescent="0.25">
      <c r="A43" s="213"/>
      <c r="B43" s="214"/>
      <c r="C43" s="215"/>
      <c r="D43" s="215"/>
      <c r="E43" s="1026"/>
      <c r="F43" s="1027"/>
      <c r="G43" s="1027"/>
      <c r="H43" s="1028"/>
    </row>
    <row r="44" spans="1:8" x14ac:dyDescent="0.25">
      <c r="A44" s="213"/>
      <c r="B44" s="214"/>
      <c r="C44" s="215"/>
      <c r="D44" s="215"/>
      <c r="E44" s="1026"/>
      <c r="F44" s="1027"/>
      <c r="G44" s="1027"/>
      <c r="H44" s="1028"/>
    </row>
    <row r="45" spans="1:8" x14ac:dyDescent="0.25">
      <c r="A45" s="213"/>
      <c r="B45" s="214"/>
      <c r="C45" s="215"/>
      <c r="D45" s="215"/>
      <c r="E45" s="1026"/>
      <c r="F45" s="1027"/>
      <c r="G45" s="1027"/>
      <c r="H45" s="1028"/>
    </row>
    <row r="46" spans="1:8" x14ac:dyDescent="0.25">
      <c r="A46" s="213"/>
      <c r="B46" s="214"/>
      <c r="C46" s="215"/>
      <c r="D46" s="215"/>
      <c r="E46" s="1026"/>
      <c r="F46" s="1027"/>
      <c r="G46" s="1027"/>
      <c r="H46" s="1028"/>
    </row>
    <row r="47" spans="1:8" x14ac:dyDescent="0.25">
      <c r="A47" s="213"/>
      <c r="B47" s="214"/>
      <c r="C47" s="215"/>
      <c r="D47" s="215"/>
      <c r="E47" s="1026"/>
      <c r="F47" s="1027"/>
      <c r="G47" s="1027"/>
      <c r="H47" s="1028"/>
    </row>
    <row r="48" spans="1:8" x14ac:dyDescent="0.25">
      <c r="A48" s="213"/>
      <c r="B48" s="214"/>
      <c r="C48" s="215"/>
      <c r="D48" s="215"/>
      <c r="E48" s="1026"/>
      <c r="F48" s="1027"/>
      <c r="G48" s="1027"/>
      <c r="H48" s="1028"/>
    </row>
    <row r="49" spans="1:8" x14ac:dyDescent="0.25">
      <c r="A49" s="213"/>
      <c r="B49" s="214"/>
      <c r="C49" s="215"/>
      <c r="D49" s="215"/>
      <c r="E49" s="1026"/>
      <c r="F49" s="1027"/>
      <c r="G49" s="1027"/>
      <c r="H49" s="1028"/>
    </row>
    <row r="50" spans="1:8" x14ac:dyDescent="0.25">
      <c r="A50" s="216">
        <f>MAX(A21:A49)</f>
        <v>45531</v>
      </c>
      <c r="B50" s="189">
        <f>MAX(B21:B49)</f>
        <v>7</v>
      </c>
    </row>
    <row r="51" spans="1:8" x14ac:dyDescent="0.25">
      <c r="A51" s="216"/>
    </row>
    <row r="52" spans="1:8" x14ac:dyDescent="0.25">
      <c r="A52" s="216"/>
    </row>
    <row r="53" spans="1:8" x14ac:dyDescent="0.25">
      <c r="A53" s="216"/>
    </row>
    <row r="54" spans="1:8" x14ac:dyDescent="0.25">
      <c r="A54" s="216"/>
    </row>
    <row r="55" spans="1:8" x14ac:dyDescent="0.25">
      <c r="A55" s="216"/>
    </row>
  </sheetData>
  <sheetProtection algorithmName="SHA-512" hashValue="165+Dx8sFwPXIr5INtKV8ldQLW0xXa8fxZo5Tf1jJ55BdIl2XSMOSc+I6dSs0WtsXQxTD7RSEZZIBD1RyQHa3g==" saltValue="lP+WMOawfkHuZRu/t5vK1w==" spinCount="100000" sheet="1" selectLockedCells="1"/>
  <mergeCells count="35">
    <mergeCell ref="B15:C15"/>
    <mergeCell ref="E49:H49"/>
    <mergeCell ref="C19:C20"/>
    <mergeCell ref="B19:B20"/>
    <mergeCell ref="A19:A20"/>
    <mergeCell ref="E43:H43"/>
    <mergeCell ref="E44:H44"/>
    <mergeCell ref="E45:H45"/>
    <mergeCell ref="E46:H46"/>
    <mergeCell ref="E47:H47"/>
    <mergeCell ref="E48:H48"/>
    <mergeCell ref="E37:H37"/>
    <mergeCell ref="E38:H38"/>
    <mergeCell ref="E39:H39"/>
    <mergeCell ref="E40:H40"/>
    <mergeCell ref="E41:H41"/>
    <mergeCell ref="E42:H42"/>
    <mergeCell ref="E36:H36"/>
    <mergeCell ref="E25:H25"/>
    <mergeCell ref="E26:H26"/>
    <mergeCell ref="E27:H27"/>
    <mergeCell ref="E28:H28"/>
    <mergeCell ref="E29:H29"/>
    <mergeCell ref="E30:H30"/>
    <mergeCell ref="E31:H31"/>
    <mergeCell ref="E32:H32"/>
    <mergeCell ref="E33:H33"/>
    <mergeCell ref="E34:H34"/>
    <mergeCell ref="E35:H35"/>
    <mergeCell ref="E24:H24"/>
    <mergeCell ref="D19:H19"/>
    <mergeCell ref="E22:H22"/>
    <mergeCell ref="E21:H21"/>
    <mergeCell ref="E20:H20"/>
    <mergeCell ref="E23:H23"/>
  </mergeCells>
  <pageMargins left="0.70866141732283472" right="0.70866141732283472" top="0.74803149606299213" bottom="0.74803149606299213" header="0.31496062992125984" footer="0.31496062992125984"/>
  <pageSetup paperSize="9" scale="49" orientation="portrait" r:id="rId1"/>
  <headerFooter>
    <oddHeader>&amp;C&amp;"Arial"&amp;12&amp;KA80000 OFFICIAL&amp;1#_x000D_</oddHeader>
    <oddFooter>&amp;L&amp;Z
&amp;F&amp;C&amp;A&amp;R&amp;D</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A1:Y86"/>
  <sheetViews>
    <sheetView showGridLines="0" zoomScale="90" zoomScaleNormal="90" workbookViewId="0">
      <selection activeCell="G8" sqref="G8:M19"/>
    </sheetView>
  </sheetViews>
  <sheetFormatPr defaultColWidth="9.140625" defaultRowHeight="15" x14ac:dyDescent="0.25"/>
  <cols>
    <col min="1" max="1" width="18.5703125" style="233" customWidth="1"/>
    <col min="2" max="2" width="10.42578125" style="233" customWidth="1"/>
    <col min="3" max="3" width="38.42578125" style="233" customWidth="1"/>
    <col min="4" max="4" width="13.5703125" style="233" customWidth="1"/>
    <col min="5" max="5" width="11" style="233" customWidth="1"/>
    <col min="6" max="6" width="9.140625" style="233"/>
    <col min="7" max="7" width="21.5703125" style="233" customWidth="1"/>
    <col min="8" max="8" width="15" style="233" customWidth="1"/>
    <col min="9" max="9" width="12.28515625" style="233" customWidth="1"/>
    <col min="10" max="10" width="12.140625" style="233" customWidth="1"/>
    <col min="11" max="11" width="16.7109375" style="233" customWidth="1"/>
    <col min="12" max="12" width="13.5703125" style="233" customWidth="1"/>
    <col min="13" max="13" width="56.5703125" style="233" customWidth="1"/>
    <col min="14" max="16" width="9.140625" style="233"/>
    <col min="17" max="17" width="10.7109375" style="233" bestFit="1" customWidth="1"/>
    <col min="18" max="18" width="9.140625" style="233"/>
    <col min="19" max="19" width="15.85546875" style="233" customWidth="1"/>
    <col min="20" max="20" width="9.140625" style="233"/>
    <col min="21" max="21" width="10.7109375" style="233" bestFit="1" customWidth="1"/>
    <col min="22" max="22" width="12.5703125" style="233" customWidth="1"/>
    <col min="23" max="23" width="9.140625" style="233"/>
    <col min="24" max="24" width="29.42578125" style="233" bestFit="1" customWidth="1"/>
    <col min="25" max="25" width="12.140625" style="233" bestFit="1" customWidth="1"/>
    <col min="26" max="16384" width="9.140625" style="233"/>
  </cols>
  <sheetData>
    <row r="1" spans="1:25" ht="42.75" customHeight="1" x14ac:dyDescent="0.25">
      <c r="A1" s="1322" t="s">
        <v>512</v>
      </c>
      <c r="B1" s="1323"/>
      <c r="C1" s="1324" t="str">
        <f>'Summary Page'!E13</f>
        <v/>
      </c>
      <c r="D1" s="1325"/>
      <c r="E1" s="1326"/>
      <c r="F1" s="1360"/>
      <c r="G1" s="1285"/>
      <c r="H1" s="1285"/>
      <c r="I1" s="1285"/>
      <c r="J1" s="1286"/>
      <c r="K1" s="1295" t="s">
        <v>460</v>
      </c>
      <c r="L1" s="1295"/>
      <c r="M1" s="404" t="s">
        <v>874</v>
      </c>
      <c r="P1" s="525" t="str">
        <f>B36</f>
        <v>A1005</v>
      </c>
      <c r="Q1" s="535" t="s">
        <v>19</v>
      </c>
      <c r="R1" s="1273" t="s">
        <v>62</v>
      </c>
      <c r="S1" s="1274"/>
      <c r="T1" s="1274"/>
      <c r="U1" s="1274"/>
      <c r="V1" s="1275"/>
      <c r="X1" s="516" t="s">
        <v>74</v>
      </c>
      <c r="Y1" s="517" t="str">
        <f>B22</f>
        <v>A1096</v>
      </c>
    </row>
    <row r="2" spans="1:25" ht="30" x14ac:dyDescent="0.35">
      <c r="A2" s="368" t="s">
        <v>461</v>
      </c>
      <c r="B2" s="325">
        <v>7</v>
      </c>
      <c r="C2" s="1296" t="str">
        <f>'Summary Page'!E19</f>
        <v/>
      </c>
      <c r="D2" s="1297"/>
      <c r="E2" s="1348"/>
      <c r="F2" s="1287"/>
      <c r="G2" s="1288"/>
      <c r="H2" s="1288"/>
      <c r="I2" s="1288"/>
      <c r="J2" s="1289"/>
      <c r="K2" s="326"/>
      <c r="L2" s="327" t="s">
        <v>152</v>
      </c>
      <c r="M2" s="328">
        <f>K58</f>
        <v>0</v>
      </c>
      <c r="P2" s="297" t="s">
        <v>61</v>
      </c>
      <c r="Q2" s="371" t="s">
        <v>58</v>
      </c>
      <c r="R2" s="371" t="s">
        <v>59</v>
      </c>
      <c r="S2" s="371" t="s">
        <v>60</v>
      </c>
      <c r="T2" s="371" t="s">
        <v>53</v>
      </c>
      <c r="U2" s="372" t="s">
        <v>61</v>
      </c>
      <c r="V2" s="373" t="s">
        <v>53</v>
      </c>
      <c r="X2" s="41" t="s">
        <v>833</v>
      </c>
      <c r="Y2" s="466">
        <f>VLOOKUP(Y1,Activities!A10:Q129,16,FALSE)</f>
        <v>27868.467286149284</v>
      </c>
    </row>
    <row r="3" spans="1:25" ht="21" x14ac:dyDescent="0.25">
      <c r="A3" s="329" t="s">
        <v>267</v>
      </c>
      <c r="B3" s="330">
        <f>'Version Control'!B50</f>
        <v>7</v>
      </c>
      <c r="C3" s="1356"/>
      <c r="D3" s="1357"/>
      <c r="E3" s="1358"/>
      <c r="F3" s="1290"/>
      <c r="G3" s="1291"/>
      <c r="H3" s="1291"/>
      <c r="I3" s="1291"/>
      <c r="J3" s="1292"/>
      <c r="K3" s="331"/>
      <c r="L3" s="332" t="s">
        <v>462</v>
      </c>
      <c r="M3" s="333">
        <f>'Summary Page'!J73</f>
        <v>0</v>
      </c>
      <c r="P3" s="374" t="s">
        <v>35</v>
      </c>
      <c r="Q3" s="357">
        <f>VLOOKUP(P1,Activities!$A$10:$Q$152,16,FALSE)</f>
        <v>1.1086505828514972</v>
      </c>
      <c r="R3" s="357">
        <f>VLOOKUP(Q1,Activities!$A$10:$Q$152,16,FALSE)</f>
        <v>1.1303836975020005</v>
      </c>
      <c r="S3" s="376">
        <v>1</v>
      </c>
      <c r="T3" s="375">
        <f>R3+Q3</f>
        <v>2.2390342803534979</v>
      </c>
      <c r="U3" s="235" t="s">
        <v>35</v>
      </c>
      <c r="V3" s="377">
        <f>T3</f>
        <v>2.2390342803534979</v>
      </c>
      <c r="X3" s="71" t="s">
        <v>836</v>
      </c>
      <c r="Y3" s="467">
        <f>Y2*2</f>
        <v>55736.934572298567</v>
      </c>
    </row>
    <row r="4" spans="1:25" ht="15" customHeight="1" x14ac:dyDescent="0.25">
      <c r="A4" s="334" t="s">
        <v>463</v>
      </c>
      <c r="B4" s="335">
        <f>'Version Control'!A50</f>
        <v>45531</v>
      </c>
      <c r="K4" s="294"/>
      <c r="L4" s="336" t="s">
        <v>464</v>
      </c>
      <c r="M4" s="337" t="e">
        <f>M2/M3</f>
        <v>#DIV/0!</v>
      </c>
      <c r="P4" s="374" t="s">
        <v>36</v>
      </c>
      <c r="Q4" s="375">
        <f>Activities!P$14</f>
        <v>1.1086505828514972</v>
      </c>
      <c r="R4" s="375">
        <f>R3*2</f>
        <v>2.260767395004001</v>
      </c>
      <c r="S4" s="376">
        <v>0.8</v>
      </c>
      <c r="T4" s="375">
        <f>Q4+(R4*S4)</f>
        <v>2.9172644988546983</v>
      </c>
      <c r="U4" s="235" t="s">
        <v>36</v>
      </c>
      <c r="V4" s="377">
        <f>T4</f>
        <v>2.9172644988546983</v>
      </c>
      <c r="X4" s="71" t="s">
        <v>834</v>
      </c>
      <c r="Y4" s="467">
        <f>Y2*3-1</f>
        <v>83604.401858447847</v>
      </c>
    </row>
    <row r="5" spans="1:25" ht="15" customHeight="1" x14ac:dyDescent="0.25">
      <c r="A5" s="1349" t="s">
        <v>465</v>
      </c>
      <c r="B5" s="1298"/>
      <c r="C5" s="1298"/>
      <c r="D5" s="1298"/>
      <c r="E5" s="1299"/>
      <c r="G5" s="1302" t="s">
        <v>466</v>
      </c>
      <c r="H5" s="1303"/>
      <c r="I5" s="1303"/>
      <c r="J5" s="1304"/>
      <c r="P5" s="374" t="s">
        <v>37</v>
      </c>
      <c r="Q5" s="375">
        <f>Activities!P$14</f>
        <v>1.1086505828514972</v>
      </c>
      <c r="R5" s="375">
        <f>R3*4</f>
        <v>4.5215347900080021</v>
      </c>
      <c r="S5" s="376">
        <v>0.7</v>
      </c>
      <c r="T5" s="375">
        <f>Q5+(R5*S5)</f>
        <v>4.2737249358570981</v>
      </c>
      <c r="U5" s="235" t="s">
        <v>37</v>
      </c>
      <c r="V5" s="377">
        <f>T5</f>
        <v>4.2737249358570981</v>
      </c>
      <c r="X5" s="71" t="s">
        <v>835</v>
      </c>
      <c r="Y5" s="467">
        <f>Y2*5-1</f>
        <v>139341.33643074642</v>
      </c>
    </row>
    <row r="6" spans="1:25" ht="21" customHeight="1" x14ac:dyDescent="0.25">
      <c r="A6" s="1350"/>
      <c r="B6" s="1351"/>
      <c r="C6" s="1351"/>
      <c r="D6" s="1351"/>
      <c r="E6" s="1352"/>
      <c r="F6" s="299"/>
      <c r="G6" s="1305" t="s">
        <v>484</v>
      </c>
      <c r="H6" s="1306"/>
      <c r="I6" s="1306"/>
      <c r="J6" s="1306"/>
      <c r="K6" s="1306"/>
      <c r="L6" s="1306"/>
      <c r="M6" s="1307"/>
      <c r="P6" s="374" t="s">
        <v>38</v>
      </c>
      <c r="Q6" s="375">
        <f>Activities!P$14</f>
        <v>1.1086505828514972</v>
      </c>
      <c r="R6" s="375">
        <f>R3*8</f>
        <v>9.0430695800160041</v>
      </c>
      <c r="S6" s="376">
        <v>0.6</v>
      </c>
      <c r="T6" s="375">
        <f>Q6+(R6*S6)</f>
        <v>6.5344923308610987</v>
      </c>
      <c r="U6" s="235" t="s">
        <v>244</v>
      </c>
      <c r="V6" s="377">
        <f>T6</f>
        <v>6.5344923308610987</v>
      </c>
      <c r="X6" s="52" t="s">
        <v>613</v>
      </c>
      <c r="Y6" s="124"/>
    </row>
    <row r="7" spans="1:25" ht="15" customHeight="1" x14ac:dyDescent="0.25">
      <c r="A7" s="348">
        <v>1</v>
      </c>
      <c r="B7" s="1353" t="s">
        <v>868</v>
      </c>
      <c r="C7" s="1354"/>
      <c r="D7" s="1354"/>
      <c r="E7" s="1355"/>
      <c r="F7" s="339"/>
      <c r="G7" s="1308"/>
      <c r="H7" s="1309"/>
      <c r="I7" s="1309"/>
      <c r="J7" s="1309"/>
      <c r="K7" s="1309"/>
      <c r="L7" s="1309"/>
      <c r="M7" s="1310"/>
      <c r="P7" s="238"/>
      <c r="Q7" s="236"/>
      <c r="R7" s="236"/>
      <c r="S7" s="236"/>
      <c r="T7" s="236"/>
      <c r="U7" s="236" t="s">
        <v>264</v>
      </c>
      <c r="V7" s="237"/>
    </row>
    <row r="8" spans="1:25" ht="18.75" customHeight="1" x14ac:dyDescent="0.3">
      <c r="A8" s="297">
        <v>2</v>
      </c>
      <c r="B8" s="1340" t="s">
        <v>869</v>
      </c>
      <c r="C8" s="1341"/>
      <c r="D8" s="1341"/>
      <c r="E8" s="1342"/>
      <c r="F8" s="339"/>
      <c r="G8" s="1137"/>
      <c r="H8" s="1138"/>
      <c r="I8" s="1138"/>
      <c r="J8" s="1138"/>
      <c r="K8" s="1138"/>
      <c r="L8" s="1138"/>
      <c r="M8" s="1139"/>
      <c r="P8" s="370" t="str">
        <f>B37</f>
        <v>A1006</v>
      </c>
      <c r="Q8" s="550" t="s">
        <v>19</v>
      </c>
      <c r="R8" s="1273" t="s">
        <v>893</v>
      </c>
      <c r="S8" s="1274"/>
      <c r="T8" s="1274"/>
      <c r="U8" s="1274"/>
      <c r="V8" s="1275"/>
    </row>
    <row r="9" spans="1:25" ht="15.75" customHeight="1" x14ac:dyDescent="0.25">
      <c r="A9" s="297">
        <v>3</v>
      </c>
      <c r="B9" s="1343" t="s">
        <v>870</v>
      </c>
      <c r="C9" s="1344"/>
      <c r="D9" s="1344"/>
      <c r="E9" s="1345"/>
      <c r="F9" s="339"/>
      <c r="G9" s="1140"/>
      <c r="H9" s="1329"/>
      <c r="I9" s="1329"/>
      <c r="J9" s="1329"/>
      <c r="K9" s="1329"/>
      <c r="L9" s="1329"/>
      <c r="M9" s="1142"/>
      <c r="P9" s="297" t="s">
        <v>61</v>
      </c>
      <c r="Q9" s="371" t="s">
        <v>58</v>
      </c>
      <c r="R9" s="371" t="s">
        <v>59</v>
      </c>
      <c r="S9" s="371" t="s">
        <v>60</v>
      </c>
      <c r="T9" s="371" t="s">
        <v>53</v>
      </c>
      <c r="U9" s="372" t="s">
        <v>61</v>
      </c>
      <c r="V9" s="373" t="s">
        <v>53</v>
      </c>
    </row>
    <row r="10" spans="1:25" ht="15" customHeight="1" x14ac:dyDescent="0.25">
      <c r="A10" s="297">
        <v>4</v>
      </c>
      <c r="B10" s="1327" t="s">
        <v>511</v>
      </c>
      <c r="C10" s="1327"/>
      <c r="D10" s="1327"/>
      <c r="E10" s="1328"/>
      <c r="F10" s="339"/>
      <c r="G10" s="1140"/>
      <c r="H10" s="1329"/>
      <c r="I10" s="1329"/>
      <c r="J10" s="1329"/>
      <c r="K10" s="1329"/>
      <c r="L10" s="1329"/>
      <c r="M10" s="1142"/>
      <c r="P10" s="374" t="s">
        <v>35</v>
      </c>
      <c r="Q10" s="357">
        <f>VLOOKUP(P8,Activities!$A$10:$Q$152,16,FALSE)</f>
        <v>1.1086505828514972</v>
      </c>
      <c r="R10" s="357">
        <f>VLOOKUP(Q8,Activities!$A$10:$Q$152,16,FALSE)</f>
        <v>1.1303836975020005</v>
      </c>
      <c r="S10" s="376">
        <v>1</v>
      </c>
      <c r="T10" s="375">
        <f>R10+Q10</f>
        <v>2.2390342803534979</v>
      </c>
      <c r="U10" s="235" t="s">
        <v>35</v>
      </c>
      <c r="V10" s="377">
        <f>T10</f>
        <v>2.2390342803534979</v>
      </c>
    </row>
    <row r="11" spans="1:25" ht="15" customHeight="1" x14ac:dyDescent="0.25">
      <c r="A11" s="297">
        <v>5</v>
      </c>
      <c r="B11" s="1330"/>
      <c r="C11" s="1331"/>
      <c r="D11" s="1331"/>
      <c r="E11" s="1332"/>
      <c r="F11" s="339"/>
      <c r="G11" s="1140"/>
      <c r="H11" s="1329"/>
      <c r="I11" s="1329"/>
      <c r="J11" s="1329"/>
      <c r="K11" s="1329"/>
      <c r="L11" s="1329"/>
      <c r="M11" s="1142"/>
      <c r="P11" s="374" t="s">
        <v>36</v>
      </c>
      <c r="Q11" s="375">
        <f>Q10</f>
        <v>1.1086505828514972</v>
      </c>
      <c r="R11" s="375">
        <f>R10*2</f>
        <v>2.260767395004001</v>
      </c>
      <c r="S11" s="376">
        <v>0.8</v>
      </c>
      <c r="T11" s="375">
        <f>Q11+(R11*S11)</f>
        <v>2.9172644988546983</v>
      </c>
      <c r="U11" s="235" t="s">
        <v>36</v>
      </c>
      <c r="V11" s="377">
        <f>T11</f>
        <v>2.9172644988546983</v>
      </c>
    </row>
    <row r="12" spans="1:25" ht="15" customHeight="1" x14ac:dyDescent="0.25">
      <c r="A12" s="305">
        <v>6</v>
      </c>
      <c r="B12" s="1346"/>
      <c r="C12" s="1346"/>
      <c r="D12" s="1346"/>
      <c r="E12" s="1347"/>
      <c r="G12" s="1140"/>
      <c r="H12" s="1329"/>
      <c r="I12" s="1329"/>
      <c r="J12" s="1329"/>
      <c r="K12" s="1329"/>
      <c r="L12" s="1329"/>
      <c r="M12" s="1142"/>
      <c r="P12" s="374" t="s">
        <v>37</v>
      </c>
      <c r="Q12" s="375">
        <f t="shared" ref="Q12:Q13" si="0">Q11</f>
        <v>1.1086505828514972</v>
      </c>
      <c r="R12" s="375">
        <f>R10*4</f>
        <v>4.5215347900080021</v>
      </c>
      <c r="S12" s="376">
        <v>0.7</v>
      </c>
      <c r="T12" s="375">
        <f>Q12+(R12*S12)</f>
        <v>4.2737249358570981</v>
      </c>
      <c r="U12" s="235" t="s">
        <v>37</v>
      </c>
      <c r="V12" s="377">
        <f>T12</f>
        <v>4.2737249358570981</v>
      </c>
    </row>
    <row r="13" spans="1:25" ht="15" customHeight="1" x14ac:dyDescent="0.25">
      <c r="A13" s="340" t="s">
        <v>34</v>
      </c>
      <c r="G13" s="1140"/>
      <c r="H13" s="1329"/>
      <c r="I13" s="1329"/>
      <c r="J13" s="1329"/>
      <c r="K13" s="1329"/>
      <c r="L13" s="1329"/>
      <c r="M13" s="1142"/>
      <c r="P13" s="374" t="s">
        <v>38</v>
      </c>
      <c r="Q13" s="375">
        <f t="shared" si="0"/>
        <v>1.1086505828514972</v>
      </c>
      <c r="R13" s="375">
        <f>R10*8</f>
        <v>9.0430695800160041</v>
      </c>
      <c r="S13" s="376">
        <v>0.6</v>
      </c>
      <c r="T13" s="375">
        <f>Q13+(R13*S13)</f>
        <v>6.5344923308610987</v>
      </c>
      <c r="U13" s="235" t="s">
        <v>244</v>
      </c>
      <c r="V13" s="377">
        <f>T13</f>
        <v>6.5344923308610987</v>
      </c>
    </row>
    <row r="14" spans="1:25" ht="15" customHeight="1" x14ac:dyDescent="0.25">
      <c r="A14" s="1276"/>
      <c r="B14" s="1277"/>
      <c r="C14" s="1278" t="s">
        <v>352</v>
      </c>
      <c r="D14" s="1278"/>
      <c r="E14" s="1279"/>
      <c r="G14" s="1140"/>
      <c r="H14" s="1329"/>
      <c r="I14" s="1329"/>
      <c r="J14" s="1329"/>
      <c r="K14" s="1329"/>
      <c r="L14" s="1329"/>
      <c r="M14" s="1142"/>
      <c r="P14" s="238"/>
      <c r="Q14" s="236"/>
      <c r="R14" s="236"/>
      <c r="S14" s="236"/>
      <c r="T14" s="236"/>
      <c r="U14" s="236" t="s">
        <v>264</v>
      </c>
      <c r="V14" s="237"/>
    </row>
    <row r="15" spans="1:25" ht="15" customHeight="1" x14ac:dyDescent="0.25">
      <c r="A15" s="1201"/>
      <c r="B15" s="1202"/>
      <c r="C15" s="1280" t="s">
        <v>467</v>
      </c>
      <c r="D15" s="1280"/>
      <c r="E15" s="1281"/>
      <c r="G15" s="1140"/>
      <c r="H15" s="1329"/>
      <c r="I15" s="1329"/>
      <c r="J15" s="1329"/>
      <c r="K15" s="1329"/>
      <c r="L15" s="1329"/>
      <c r="M15" s="1142"/>
    </row>
    <row r="16" spans="1:25" ht="18.75" customHeight="1" x14ac:dyDescent="0.3">
      <c r="A16" s="1284" t="s">
        <v>824</v>
      </c>
      <c r="B16" s="1285"/>
      <c r="C16" s="1285"/>
      <c r="D16" s="1285"/>
      <c r="E16" s="1286"/>
      <c r="G16" s="1140"/>
      <c r="H16" s="1329"/>
      <c r="I16" s="1329"/>
      <c r="J16" s="1329"/>
      <c r="K16" s="1329"/>
      <c r="L16" s="1329"/>
      <c r="M16" s="1142"/>
      <c r="P16" s="370" t="str">
        <f>B40</f>
        <v>A1013</v>
      </c>
      <c r="Q16" s="550" t="s">
        <v>19</v>
      </c>
      <c r="R16" s="1273" t="s">
        <v>72</v>
      </c>
      <c r="S16" s="1274"/>
      <c r="T16" s="1274"/>
      <c r="U16" s="1274"/>
      <c r="V16" s="1275"/>
    </row>
    <row r="17" spans="1:22" ht="15" customHeight="1" x14ac:dyDescent="0.25">
      <c r="A17" s="1287"/>
      <c r="B17" s="1288"/>
      <c r="C17" s="1288"/>
      <c r="D17" s="1288"/>
      <c r="E17" s="1289"/>
      <c r="G17" s="1140"/>
      <c r="H17" s="1329"/>
      <c r="I17" s="1329"/>
      <c r="J17" s="1329"/>
      <c r="K17" s="1329"/>
      <c r="L17" s="1329"/>
      <c r="M17" s="1142"/>
      <c r="P17" s="297" t="s">
        <v>61</v>
      </c>
      <c r="Q17" s="371" t="s">
        <v>58</v>
      </c>
      <c r="R17" s="371" t="s">
        <v>59</v>
      </c>
      <c r="S17" s="371" t="s">
        <v>60</v>
      </c>
      <c r="T17" s="371" t="s">
        <v>53</v>
      </c>
      <c r="U17" s="372" t="s">
        <v>61</v>
      </c>
      <c r="V17" s="373" t="s">
        <v>53</v>
      </c>
    </row>
    <row r="18" spans="1:22" ht="15" customHeight="1" x14ac:dyDescent="0.25">
      <c r="A18" s="1287"/>
      <c r="B18" s="1288"/>
      <c r="C18" s="1288"/>
      <c r="D18" s="1288"/>
      <c r="E18" s="1289"/>
      <c r="G18" s="1140"/>
      <c r="H18" s="1329"/>
      <c r="I18" s="1329"/>
      <c r="J18" s="1329"/>
      <c r="K18" s="1329"/>
      <c r="L18" s="1329"/>
      <c r="M18" s="1142"/>
      <c r="P18" s="374" t="s">
        <v>35</v>
      </c>
      <c r="Q18" s="357">
        <f>VLOOKUP(P16,Activities!$A$10:$Q$152,16,FALSE)</f>
        <v>1.4289323610931841</v>
      </c>
      <c r="R18" s="357">
        <f>VLOOKUP(Q16,Activities!$A$10:$Q$152,16,FALSE)</f>
        <v>1.1303836975020005</v>
      </c>
      <c r="S18" s="376">
        <v>1</v>
      </c>
      <c r="T18" s="375">
        <f>R18+Q18</f>
        <v>2.5593160585951846</v>
      </c>
      <c r="U18" s="235" t="s">
        <v>35</v>
      </c>
      <c r="V18" s="377">
        <f>T18</f>
        <v>2.5593160585951846</v>
      </c>
    </row>
    <row r="19" spans="1:22" ht="15" customHeight="1" x14ac:dyDescent="0.25">
      <c r="A19" s="1290"/>
      <c r="B19" s="1291"/>
      <c r="C19" s="1291"/>
      <c r="D19" s="1291"/>
      <c r="E19" s="1292"/>
      <c r="G19" s="1143"/>
      <c r="H19" s="1144"/>
      <c r="I19" s="1144"/>
      <c r="J19" s="1144"/>
      <c r="K19" s="1144"/>
      <c r="L19" s="1144"/>
      <c r="M19" s="1145"/>
      <c r="P19" s="374" t="s">
        <v>36</v>
      </c>
      <c r="Q19" s="375">
        <f>Q18</f>
        <v>1.4289323610931841</v>
      </c>
      <c r="R19" s="375">
        <f>R18*2</f>
        <v>2.260767395004001</v>
      </c>
      <c r="S19" s="376">
        <v>0.8</v>
      </c>
      <c r="T19" s="375">
        <f>Q19+(R19*S19)</f>
        <v>3.237546277096385</v>
      </c>
      <c r="U19" s="235" t="s">
        <v>36</v>
      </c>
      <c r="V19" s="377">
        <f>T19</f>
        <v>3.237546277096385</v>
      </c>
    </row>
    <row r="20" spans="1:22" ht="15" customHeight="1" x14ac:dyDescent="0.25">
      <c r="D20" s="366"/>
      <c r="J20" s="219"/>
      <c r="K20" s="367"/>
      <c r="L20" s="1291"/>
      <c r="M20" s="1292"/>
      <c r="P20" s="374" t="s">
        <v>37</v>
      </c>
      <c r="Q20" s="375">
        <f t="shared" ref="Q20:Q21" si="1">Q19</f>
        <v>1.4289323610931841</v>
      </c>
      <c r="R20" s="375">
        <f>R18*4</f>
        <v>4.5215347900080021</v>
      </c>
      <c r="S20" s="376">
        <v>0.7</v>
      </c>
      <c r="T20" s="375">
        <f>Q20+(R20*S20)</f>
        <v>4.5940067140987857</v>
      </c>
      <c r="U20" s="235" t="s">
        <v>37</v>
      </c>
      <c r="V20" s="377">
        <f>T20</f>
        <v>4.5940067140987857</v>
      </c>
    </row>
    <row r="21" spans="1:22" ht="60.75" customHeight="1" thickBot="1" x14ac:dyDescent="0.3">
      <c r="A21" s="119" t="s">
        <v>39</v>
      </c>
      <c r="B21" s="120" t="s">
        <v>40</v>
      </c>
      <c r="C21" s="120" t="s">
        <v>479</v>
      </c>
      <c r="D21" s="311" t="s">
        <v>272</v>
      </c>
      <c r="E21" s="311" t="s">
        <v>43</v>
      </c>
      <c r="F21" s="120" t="s">
        <v>273</v>
      </c>
      <c r="G21" s="1212" t="s">
        <v>416</v>
      </c>
      <c r="H21" s="1212"/>
      <c r="I21" s="120" t="s">
        <v>45</v>
      </c>
      <c r="J21" s="312" t="s">
        <v>271</v>
      </c>
      <c r="K21" s="120" t="s">
        <v>47</v>
      </c>
      <c r="L21" s="120" t="s">
        <v>270</v>
      </c>
      <c r="M21" s="317" t="s">
        <v>415</v>
      </c>
      <c r="P21" s="374" t="s">
        <v>38</v>
      </c>
      <c r="Q21" s="375">
        <f t="shared" si="1"/>
        <v>1.4289323610931841</v>
      </c>
      <c r="R21" s="375">
        <f>R18*8</f>
        <v>9.0430695800160041</v>
      </c>
      <c r="S21" s="376">
        <v>0.6</v>
      </c>
      <c r="T21" s="375">
        <f>Q21+(R21*S21)</f>
        <v>6.8547741091027863</v>
      </c>
      <c r="U21" s="235" t="s">
        <v>244</v>
      </c>
      <c r="V21" s="377">
        <f>T21</f>
        <v>6.8547741091027863</v>
      </c>
    </row>
    <row r="22" spans="1:22" s="243" customFormat="1" ht="79.5" customHeight="1" thickBot="1" x14ac:dyDescent="0.3">
      <c r="A22" s="1293" t="s">
        <v>440</v>
      </c>
      <c r="B22" s="245" t="s">
        <v>622</v>
      </c>
      <c r="C22" s="259" t="str">
        <f>VLOOKUP($B22,Activities!$A$10:$P$152,3,FALSE)</f>
        <v>To Identify and Characterise the material in the heap leach including the extent of flushing and design of the cover</v>
      </c>
      <c r="D22" s="239" t="s">
        <v>49</v>
      </c>
      <c r="E22" s="240"/>
      <c r="F22" s="246" t="str">
        <f>VLOOKUP($B22,Activities!$A$10:$P$152,4,FALSE)</f>
        <v>Item</v>
      </c>
      <c r="G22" s="313" t="s">
        <v>838</v>
      </c>
      <c r="H22" s="140" t="s">
        <v>613</v>
      </c>
      <c r="I22" s="273">
        <f>VLOOKUP(H22,X2:Y6,2,FALSE)</f>
        <v>0</v>
      </c>
      <c r="J22" s="269"/>
      <c r="K22" s="390">
        <f t="shared" ref="K22" si="2">IF(D22="Y",IF(J22="",I22*E22,J22*E22),"")</f>
        <v>0</v>
      </c>
      <c r="L22" s="248" t="str">
        <f>IFERROR(IF(D22="Y",K22/$K$70,0%),"0.0%")</f>
        <v>0.0%</v>
      </c>
      <c r="M22" s="290" t="str">
        <f>VLOOKUP($B22,Activities!$A$10:$S$152,19,FALSE)</f>
        <v>This sum covers the characterisation of the heap, determining the extent of flushing required to neutralise the heap and design of the cover thickness for the facility. The activity includes professional assessment, engineering and laboratory work required to develop an appropriate management plan.</v>
      </c>
      <c r="P22" s="378"/>
      <c r="Q22" s="379"/>
      <c r="R22" s="379"/>
      <c r="S22" s="379"/>
      <c r="T22" s="379"/>
      <c r="U22" s="236" t="s">
        <v>264</v>
      </c>
      <c r="V22" s="380"/>
    </row>
    <row r="23" spans="1:22" s="243" customFormat="1" ht="84.75" thickBot="1" x14ac:dyDescent="0.3">
      <c r="A23" s="1294"/>
      <c r="B23" s="258" t="s">
        <v>241</v>
      </c>
      <c r="C23" s="259" t="str">
        <f>VLOOKUP($B23,Activities!$A$10:$P$152,3,FALSE)</f>
        <v>Characteristics of soil and groundwater contamination (Environmental site assessment)</v>
      </c>
      <c r="D23" s="239" t="s">
        <v>49</v>
      </c>
      <c r="E23" s="320"/>
      <c r="F23" s="246" t="str">
        <f>VLOOKUP($B23,Activities!$A$10:$P$152,4,FALSE)</f>
        <v>Ha</v>
      </c>
      <c r="G23" s="1269"/>
      <c r="H23" s="1270"/>
      <c r="I23" s="273">
        <f>VLOOKUP($B23,Activities!$A$10:$S$152,16,FALSE)</f>
        <v>32524.962920035628</v>
      </c>
      <c r="J23" s="269"/>
      <c r="K23" s="388">
        <f t="shared" ref="K23" si="3">IF(D23="Y",IF(J23="",I23*E23,J23*E23),0)</f>
        <v>0</v>
      </c>
      <c r="L23" s="248" t="str">
        <f t="shared" ref="L23" si="4">IFERROR(IF(D23="Y",K23/$K$55,0%),"0.0%")</f>
        <v>0.0%</v>
      </c>
      <c r="M23" s="290" t="str">
        <f>VLOOKUP($B23,Activities!$A$10:$S$152,19,FALSE)</f>
        <v>Assumes soil sampling at 10 locations and development of up to four groundwater wells and one groundwater monitoring event (GME) per hectare.  Chemical analysis of one soild sample per location and one groundwater sample per well for a standard suite of chemicals (eg heavy metals, selected organics) of potential interest.  Soil sites advance to a maximum of 1 metre below ground level and wells to a maximum depth of 12 metres below ground level.</v>
      </c>
      <c r="P23" s="524" t="str">
        <f>B28</f>
        <v>A1067</v>
      </c>
      <c r="Q23" s="1374" t="s">
        <v>513</v>
      </c>
      <c r="R23" s="1375"/>
      <c r="S23" s="1376"/>
    </row>
    <row r="24" spans="1:22" s="243" customFormat="1" ht="16.5" thickBot="1" x14ac:dyDescent="0.3">
      <c r="A24" s="452" t="s">
        <v>53</v>
      </c>
      <c r="B24" s="345" t="str">
        <f>A22</f>
        <v>Preliminary Assessments</v>
      </c>
      <c r="C24" s="298"/>
      <c r="D24" s="252"/>
      <c r="E24" s="253"/>
      <c r="F24" s="252"/>
      <c r="G24" s="252"/>
      <c r="H24" s="252"/>
      <c r="I24" s="254"/>
      <c r="J24" s="255"/>
      <c r="K24" s="256">
        <f>SUM(K22:K23)</f>
        <v>0</v>
      </c>
      <c r="L24" s="252"/>
      <c r="M24" s="257"/>
      <c r="P24" s="519" t="s">
        <v>443</v>
      </c>
      <c r="Q24" s="520" t="s">
        <v>444</v>
      </c>
      <c r="R24" s="520" t="s">
        <v>140</v>
      </c>
      <c r="S24" s="521" t="s">
        <v>445</v>
      </c>
    </row>
    <row r="25" spans="1:22" s="243" customFormat="1" ht="75.75" customHeight="1" thickBot="1" x14ac:dyDescent="0.3">
      <c r="A25" s="1293" t="s">
        <v>442</v>
      </c>
      <c r="B25" s="245" t="s">
        <v>419</v>
      </c>
      <c r="C25" s="259" t="str">
        <f>VLOOKUP($B25,Activities!$A$10:$P$152,3,FALSE)</f>
        <v xml:space="preserve">Re-establishment and repairs to heap leaching circuit </v>
      </c>
      <c r="D25" s="239" t="s">
        <v>49</v>
      </c>
      <c r="E25" s="320"/>
      <c r="F25" s="246" t="str">
        <f>VLOOKUP($B25,Activities!$A$10:$P$152,4,FALSE)</f>
        <v>Ha</v>
      </c>
      <c r="G25" s="1269"/>
      <c r="H25" s="1270"/>
      <c r="I25" s="273">
        <f>VLOOKUP($B25,Activities!$A$10:$S$152,16,FALSE)</f>
        <v>2383.9609447769958</v>
      </c>
      <c r="J25" s="269"/>
      <c r="K25" s="388">
        <f t="shared" ref="K25:K27" si="5">IF(D25="Y",IF(J25="",I25*E25,J25*E25),0)</f>
        <v>0</v>
      </c>
      <c r="L25" s="248" t="str">
        <f t="shared" ref="L25:L27" si="6">IFERROR(IF(D25="Y",K25/$K$55,0%),"0.0%")</f>
        <v>0.0%</v>
      </c>
      <c r="M25" s="290" t="str">
        <f>VLOOKUP($B25,Activities!$A$10:$S$152,19,FALSE)</f>
        <v>This activity provides for the re-establishment of the pipework and pumping facilities to enable the flushing of a heap leach stockpile prior to reshaping and abandonment.  It assumes that much of the pipework is still present but provides for additional piping and work</v>
      </c>
      <c r="P25" s="381" t="s">
        <v>447</v>
      </c>
      <c r="Q25" s="382">
        <f>Activities!P76</f>
        <v>6256.6158018669557</v>
      </c>
      <c r="R25" s="371">
        <v>1</v>
      </c>
      <c r="S25" s="383">
        <f>R25*Q25</f>
        <v>6256.6158018669557</v>
      </c>
    </row>
    <row r="26" spans="1:22" s="243" customFormat="1" ht="55.5" customHeight="1" thickBot="1" x14ac:dyDescent="0.3">
      <c r="A26" s="1336"/>
      <c r="B26" s="245" t="s">
        <v>421</v>
      </c>
      <c r="C26" s="259" t="str">
        <f>VLOOKUP($B26,Activities!$A$10:$P$152,3,FALSE)</f>
        <v>Flushing of solution or water through heap leach stockpiles to remove contaminated materials.</v>
      </c>
      <c r="D26" s="239" t="s">
        <v>49</v>
      </c>
      <c r="E26" s="320"/>
      <c r="F26" s="246" t="str">
        <f>VLOOKUP($B26,Activities!$A$10:$P$152,4,FALSE)</f>
        <v>month</v>
      </c>
      <c r="G26" s="1269"/>
      <c r="H26" s="1270"/>
      <c r="I26" s="273">
        <f>VLOOKUP($B26,Activities!$A$10:$S$152,16,FALSE)</f>
        <v>41985.925928571429</v>
      </c>
      <c r="J26" s="269"/>
      <c r="K26" s="388">
        <f t="shared" si="5"/>
        <v>0</v>
      </c>
      <c r="L26" s="248" t="str">
        <f t="shared" si="6"/>
        <v>0.0%</v>
      </c>
      <c r="M26" s="290" t="str">
        <f>VLOOKUP($B26,Activities!$A$10:$S$152,19,FALSE)</f>
        <v>This activity provides for the flushing of water and/or solution through the heap leach stockpiles in order to flush any chemicals from the stockpile.  (Examples include cyanide, sulphuric acid, etc.)</v>
      </c>
      <c r="P26" s="381" t="s">
        <v>448</v>
      </c>
      <c r="Q26" s="382">
        <f>Q25</f>
        <v>6256.6158018669557</v>
      </c>
      <c r="R26" s="371">
        <v>3</v>
      </c>
      <c r="S26" s="383">
        <f>R26*Q26</f>
        <v>18769.847405600867</v>
      </c>
    </row>
    <row r="27" spans="1:22" s="243" customFormat="1" ht="48" thickBot="1" x14ac:dyDescent="0.3">
      <c r="A27" s="1336"/>
      <c r="B27" s="245" t="s">
        <v>424</v>
      </c>
      <c r="C27" s="259" t="str">
        <f>VLOOKUP($B27,Activities!$A$10:$P$152,3,FALSE)</f>
        <v>Provision of water treatment equipment to treat water from heap leach (or TSF) operations.</v>
      </c>
      <c r="D27" s="239" t="s">
        <v>49</v>
      </c>
      <c r="E27" s="320"/>
      <c r="F27" s="246" t="str">
        <f>VLOOKUP($B27,Activities!$A$10:$P$152,4,FALSE)</f>
        <v>Sum</v>
      </c>
      <c r="G27" s="1269"/>
      <c r="H27" s="1270"/>
      <c r="I27" s="273">
        <f>VLOOKUP($B27,Activities!$A$10:$S$152,16,FALSE)</f>
        <v>256948.06008385369</v>
      </c>
      <c r="J27" s="269"/>
      <c r="K27" s="388">
        <f t="shared" si="5"/>
        <v>0</v>
      </c>
      <c r="L27" s="248" t="str">
        <f t="shared" si="6"/>
        <v>0.0%</v>
      </c>
      <c r="M27" s="290" t="str">
        <f>VLOOKUP($B27,Activities!$A$10:$S$152,19,FALSE)</f>
        <v>This provides for the capital cost of providing for dosing equipment to treat the run-off from heap leach operaitons while they are being flushed and cleaned out.</v>
      </c>
      <c r="P27" s="381" t="s">
        <v>454</v>
      </c>
      <c r="Q27" s="382">
        <f>Q25</f>
        <v>6256.6158018669557</v>
      </c>
      <c r="R27" s="371">
        <v>7</v>
      </c>
      <c r="S27" s="383">
        <f>R27*Q27</f>
        <v>43796.310613068694</v>
      </c>
    </row>
    <row r="28" spans="1:22" s="243" customFormat="1" ht="60.75" thickBot="1" x14ac:dyDescent="0.3">
      <c r="A28" s="1294"/>
      <c r="B28" s="245" t="s">
        <v>423</v>
      </c>
      <c r="C28" s="259" t="str">
        <f>VLOOKUP($B28,Activities!$A$10:$P$152,3,FALSE)</f>
        <v xml:space="preserve">Treatment of water from Heap Leach stockpiles to neutralise water </v>
      </c>
      <c r="D28" s="239" t="s">
        <v>49</v>
      </c>
      <c r="E28" s="320"/>
      <c r="F28" s="246" t="str">
        <f>VLOOKUP($B28,Activities!$A$10:$P$152,4,FALSE)</f>
        <v>Months</v>
      </c>
      <c r="G28" s="321" t="s">
        <v>867</v>
      </c>
      <c r="H28" s="167" t="s">
        <v>453</v>
      </c>
      <c r="I28" s="272">
        <f>VLOOKUP(H28,P25:S29,4)</f>
        <v>0</v>
      </c>
      <c r="J28" s="269"/>
      <c r="K28" s="388">
        <f>IF(D28="Y",IF(J28="",I28*E28,J28*E28),0)</f>
        <v>0</v>
      </c>
      <c r="L28" s="248" t="str">
        <f>IFERROR(IF(D28="Y",K28/$K$58,0%),"0.0%")</f>
        <v>0.0%</v>
      </c>
      <c r="M28" s="290" t="str">
        <f>VLOOKUP($B28,Activities!$A$10:$S$152,19,FALSE)</f>
        <v>This activity provides an allowance for the treatment of water from the Heap leach stockpiles to neutralise the water.  (It is a compromise between dosing for pH adjustment, metals reduciton, cyanide destruction turbidity removal etc)</v>
      </c>
      <c r="P28" s="381" t="s">
        <v>455</v>
      </c>
      <c r="Q28" s="382">
        <f>Q25</f>
        <v>6256.6158018669557</v>
      </c>
      <c r="R28" s="371">
        <v>10</v>
      </c>
      <c r="S28" s="383">
        <f>R28*Q28</f>
        <v>62566.158018669557</v>
      </c>
    </row>
    <row r="29" spans="1:22" s="243" customFormat="1" ht="16.5" thickBot="1" x14ac:dyDescent="0.3">
      <c r="A29" s="530" t="s">
        <v>53</v>
      </c>
      <c r="B29" s="345" t="str">
        <f>A25</f>
        <v>Flushing and Neutralising of Heap Leach Stockpiles</v>
      </c>
      <c r="C29" s="298"/>
      <c r="D29" s="252"/>
      <c r="E29" s="253"/>
      <c r="F29" s="252"/>
      <c r="G29" s="252"/>
      <c r="H29" s="252"/>
      <c r="I29" s="254"/>
      <c r="J29" s="255"/>
      <c r="K29" s="256">
        <f>SUM(K25:K28)</f>
        <v>0</v>
      </c>
      <c r="L29" s="252"/>
      <c r="M29" s="257"/>
      <c r="P29" s="522" t="s">
        <v>453</v>
      </c>
      <c r="Q29" s="523"/>
      <c r="R29" s="379"/>
      <c r="S29" s="380"/>
    </row>
    <row r="30" spans="1:22" s="243" customFormat="1" ht="50.25" customHeight="1" thickBot="1" x14ac:dyDescent="0.3">
      <c r="A30" s="1337" t="s">
        <v>449</v>
      </c>
      <c r="B30" s="245" t="s">
        <v>289</v>
      </c>
      <c r="C30" s="259" t="str">
        <f>VLOOKUP($B30,Activities!$A$10:$P$152,3,FALSE)</f>
        <v xml:space="preserve">Removal and demolition of Pump Station </v>
      </c>
      <c r="D30" s="239" t="s">
        <v>49</v>
      </c>
      <c r="E30" s="320"/>
      <c r="F30" s="246" t="str">
        <f>VLOOKUP($B30,Activities!$A$10:$P$152,4,FALSE)</f>
        <v>Item</v>
      </c>
      <c r="G30" s="1269"/>
      <c r="H30" s="1270"/>
      <c r="I30" s="273">
        <f>VLOOKUP($B30,Activities!$A$10:$S$152,16,FALSE)</f>
        <v>1580.3092850475025</v>
      </c>
      <c r="J30" s="269"/>
      <c r="K30" s="388">
        <f t="shared" ref="K30:K32" si="7">IF(D30="Y",IF(J30="",I30*E30,J30*E30),0)</f>
        <v>0</v>
      </c>
      <c r="L30" s="248" t="str">
        <f t="shared" ref="L30:L32" si="8">IFERROR(IF(D30="Y",K30/$K$55,0%),"0.0%")</f>
        <v>0.0%</v>
      </c>
      <c r="M30" s="290" t="str">
        <f>VLOOKUP($B30,Activities!$A$10:$S$152,19,FALSE)</f>
        <v>This activity involves the removal and demolition of an above ground pump station used in connection with a borefield and or wellhead injection system. ( It does not include the demolition of a substantial pumping structure or building which will need additional cost estimates)</v>
      </c>
    </row>
    <row r="31" spans="1:22" s="243" customFormat="1" ht="36.75" customHeight="1" thickBot="1" x14ac:dyDescent="0.3">
      <c r="A31" s="1377"/>
      <c r="B31" s="245" t="s">
        <v>434</v>
      </c>
      <c r="C31" s="259" t="str">
        <f>VLOOKUP($B31,Activities!$A$10:$P$152,3,FALSE)</f>
        <v>Removal and Disposal of Major Trunk Pipelines</v>
      </c>
      <c r="D31" s="239" t="s">
        <v>49</v>
      </c>
      <c r="E31" s="320"/>
      <c r="F31" s="246" t="str">
        <f>VLOOKUP($B31,Activities!$A$10:$P$152,4,FALSE)</f>
        <v>m</v>
      </c>
      <c r="G31" s="1269"/>
      <c r="H31" s="1270"/>
      <c r="I31" s="272">
        <f>VLOOKUP($B31,Activities!$A$10:$S$152,16,FALSE)</f>
        <v>32.467068764228138</v>
      </c>
      <c r="J31" s="269"/>
      <c r="K31" s="388">
        <f t="shared" si="7"/>
        <v>0</v>
      </c>
      <c r="L31" s="248" t="str">
        <f t="shared" si="8"/>
        <v>0.0%</v>
      </c>
      <c r="M31" s="290" t="str">
        <f>VLOOKUP($B31,Activities!$A$10:$S$152,19,FALSE)</f>
        <v>The activity relates specifically to the removal and disposal of trunk pipelines assumed to be plastic in nature but greater than 200 mm in diameter.   The pipework should be cut up or shredded.   If the pipe is very large or steel a separate demolition price should be prepared.  It does not inlcude pipework within a process plant.</v>
      </c>
    </row>
    <row r="32" spans="1:22" s="243" customFormat="1" ht="36.75" customHeight="1" thickBot="1" x14ac:dyDescent="0.3">
      <c r="A32" s="1377"/>
      <c r="B32" s="245" t="s">
        <v>233</v>
      </c>
      <c r="C32" s="259" t="str">
        <f>VLOOKUP($B32,Activities!$A$10:$P$152,3,FALSE)</f>
        <v>Demolish and Removal of Pipework - Plastic (Borefields, tailing facilities, etc)</v>
      </c>
      <c r="D32" s="239" t="s">
        <v>49</v>
      </c>
      <c r="E32" s="320"/>
      <c r="F32" s="246" t="str">
        <f>VLOOKUP($B32,Activities!$A$10:$P$152,4,FALSE)</f>
        <v>m</v>
      </c>
      <c r="G32" s="1269"/>
      <c r="H32" s="1270"/>
      <c r="I32" s="272">
        <f>VLOOKUP($B32,Activities!$A$10:$S$152,16,FALSE)</f>
        <v>13.119651535666517</v>
      </c>
      <c r="J32" s="269"/>
      <c r="K32" s="388">
        <f t="shared" si="7"/>
        <v>0</v>
      </c>
      <c r="L32" s="248" t="str">
        <f t="shared" si="8"/>
        <v>0.0%</v>
      </c>
      <c r="M32" s="290" t="str">
        <f>VLOOKUP($B32,Activities!$A$10:$S$152,19,FALSE)</f>
        <v>The activity consists of removing all pipework within the area and disposing of this pipework in an approved dump on the site.  The pipework should be cut up or shredded.  The activity assumes that the pipe is &lt;200mm and is plastic in nature.  If the pipe is very large or steel a separate demolition price should be prepared.  It does not inlcude pipework within a process plant.</v>
      </c>
    </row>
    <row r="33" spans="1:22" s="243" customFormat="1" ht="15.75" customHeight="1" thickBot="1" x14ac:dyDescent="0.3">
      <c r="A33" s="530" t="s">
        <v>53</v>
      </c>
      <c r="B33" s="345" t="str">
        <f>A30</f>
        <v>Demolition of Heap Leach Infrastructure</v>
      </c>
      <c r="C33" s="251"/>
      <c r="D33" s="252"/>
      <c r="E33" s="253"/>
      <c r="F33" s="252"/>
      <c r="G33" s="252"/>
      <c r="H33" s="252"/>
      <c r="I33" s="254"/>
      <c r="J33" s="255"/>
      <c r="K33" s="256">
        <f>SUM(K30:K32)</f>
        <v>0</v>
      </c>
      <c r="L33" s="252"/>
      <c r="M33" s="257"/>
    </row>
    <row r="34" spans="1:22" s="243" customFormat="1" ht="60.75" customHeight="1" thickBot="1" x14ac:dyDescent="0.3">
      <c r="A34" s="1333" t="s">
        <v>456</v>
      </c>
      <c r="B34" s="245" t="s">
        <v>13</v>
      </c>
      <c r="C34" s="259" t="str">
        <f>VLOOKUP($B34,Activities!$A$10:$P$152,3,FALSE)</f>
        <v>Major Bulk Pushing/Dozing to achieve Final Land Forms</v>
      </c>
      <c r="D34" s="239" t="s">
        <v>49</v>
      </c>
      <c r="E34" s="320"/>
      <c r="F34" s="246" t="str">
        <f>VLOOKUP($B34,Activities!$A$10:$P$152,4,FALSE)</f>
        <v>m3</v>
      </c>
      <c r="G34" s="1269"/>
      <c r="H34" s="1270"/>
      <c r="I34" s="272">
        <f>VLOOKUP($B34,Activities!$A$10:$S$152,16,FALSE)</f>
        <v>0.96390609627070267</v>
      </c>
      <c r="J34" s="269"/>
      <c r="K34" s="388">
        <f t="shared" ref="K34:K35" si="9">IF(D34="Y",IF(J34="",I34*E34,J34*E34),0)</f>
        <v>0</v>
      </c>
      <c r="L34" s="248" t="str">
        <f t="shared" ref="L34:L35" si="10">IFERROR(IF(D34="Y",K34/$K$55,0%),"0.0%")</f>
        <v>0.0%</v>
      </c>
      <c r="M34" s="290" t="str">
        <f>VLOOKUP($B34,Activities!$A$10:$S$152,19,FALSE)</f>
        <v>This unit cost covers the use of a dozer to push material within reasonable confines to achieve a Final Land Form.  It is often undertaken prior to covering a tailing storage facility</v>
      </c>
      <c r="P34" s="233"/>
      <c r="Q34" s="233"/>
      <c r="R34" s="233"/>
      <c r="S34" s="233"/>
      <c r="T34" s="233"/>
      <c r="U34" s="233"/>
      <c r="V34" s="233"/>
    </row>
    <row r="35" spans="1:22" s="243" customFormat="1" ht="102" customHeight="1" thickBot="1" x14ac:dyDescent="0.3">
      <c r="A35" s="1334"/>
      <c r="B35" s="245" t="s">
        <v>451</v>
      </c>
      <c r="C35" s="259" t="str">
        <f>VLOOKUP($B35,Activities!$A$10:$P$152,3,FALSE)</f>
        <v>Construction of Water Diversion Channels/Drains</v>
      </c>
      <c r="D35" s="239" t="s">
        <v>49</v>
      </c>
      <c r="E35" s="320"/>
      <c r="F35" s="246" t="str">
        <f>VLOOKUP($B35,Activities!$A$10:$P$152,4,FALSE)</f>
        <v>lin m</v>
      </c>
      <c r="G35" s="1269"/>
      <c r="H35" s="1270"/>
      <c r="I35" s="273">
        <f>VLOOKUP($B35,Activities!$A$10:$S$152,16,FALSE)</f>
        <v>99.880946449499689</v>
      </c>
      <c r="J35" s="269"/>
      <c r="K35" s="388">
        <f t="shared" si="9"/>
        <v>0</v>
      </c>
      <c r="L35" s="248" t="str">
        <f t="shared" si="10"/>
        <v>0.0%</v>
      </c>
      <c r="M35" s="290" t="str">
        <f>VLOOKUP($B35,Activities!$A$10:$S$152,19,FALSE)</f>
        <v xml:space="preserve">The activity covers the occasions when it is necessary to construct a diversion channel to either divert water away from an area or to channel water from one area to another.  The assumption is that the level of water flowing through the channel is limited rather than a creek flow or major outflow.  Some allowance has been made for the incorporation of minor rock or velocity limiting structures but not major spillways or energy dissipaters. </v>
      </c>
      <c r="P35" s="233"/>
      <c r="Q35" s="233"/>
      <c r="R35" s="233"/>
      <c r="S35" s="233"/>
      <c r="T35" s="233"/>
      <c r="U35" s="233"/>
      <c r="V35" s="233"/>
    </row>
    <row r="36" spans="1:22" ht="56.25" customHeight="1" thickBot="1" x14ac:dyDescent="0.3">
      <c r="A36" s="1334"/>
      <c r="B36" s="245" t="s">
        <v>16</v>
      </c>
      <c r="C36" s="259" t="str">
        <f>VLOOKUP($B36,Activities!$A$10:$P$152,3,FALSE)</f>
        <v>Load and haul of mined, processed, stockpiled materials or topsoil</v>
      </c>
      <c r="D36" s="239" t="s">
        <v>49</v>
      </c>
      <c r="E36" s="320"/>
      <c r="F36" s="246" t="str">
        <f>VLOOKUP($B36,Activities!$A$10:$P$152,4,FALSE)</f>
        <v>m3</v>
      </c>
      <c r="G36" s="313" t="s">
        <v>51</v>
      </c>
      <c r="H36" s="167" t="s">
        <v>264</v>
      </c>
      <c r="I36" s="272">
        <f>VLOOKUP(H36,U3:V7,2)</f>
        <v>0</v>
      </c>
      <c r="J36" s="269"/>
      <c r="K36" s="388">
        <f>IF(D36="Y",IF(J36="",I36*E36,J36*E36),0)</f>
        <v>0</v>
      </c>
      <c r="L36" s="248" t="str">
        <f>IFERROR(IF(D36="Y",K36/$K$58,0%),"0.0%")</f>
        <v>0.0%</v>
      </c>
      <c r="M36" s="290" t="str">
        <f>VLOOKUP($B36,Activities!$A$10:$S$152,19,FALSE)</f>
        <v>This activity involves loading into a truck of material previously mined, processed material or topsoil, and hauling a selected distance.</v>
      </c>
    </row>
    <row r="37" spans="1:22" ht="42.75" thickBot="1" x14ac:dyDescent="0.3">
      <c r="A37" s="1334"/>
      <c r="B37" s="245" t="s">
        <v>17</v>
      </c>
      <c r="C37" s="259" t="str">
        <f>VLOOKUP($B37,Activities!$A$10:$P$152,3,FALSE)</f>
        <v xml:space="preserve">Excavation of earthen materials from local borrow pits, plus haulage </v>
      </c>
      <c r="D37" s="239" t="s">
        <v>49</v>
      </c>
      <c r="E37" s="320"/>
      <c r="F37" s="246" t="str">
        <f>VLOOKUP($B37,Activities!$A$10:$P$152,4,FALSE)</f>
        <v>m3</v>
      </c>
      <c r="G37" s="313" t="s">
        <v>51</v>
      </c>
      <c r="H37" s="167" t="s">
        <v>264</v>
      </c>
      <c r="I37" s="272">
        <f>VLOOKUP(H37,U10:V14,2)</f>
        <v>0</v>
      </c>
      <c r="J37" s="269"/>
      <c r="K37" s="388">
        <f>IF(D37="Y",IF(J37="",I37*E37,J37*E37),0)</f>
        <v>0</v>
      </c>
      <c r="L37" s="248" t="str">
        <f>IFERROR(IF(D37="Y",K37/$K$58,0%),"0.0%")</f>
        <v>0.0%</v>
      </c>
      <c r="M37" s="290" t="str">
        <f>VLOOKUP($B37,Activities!$A$10:$S$152,19,FALSE)</f>
        <v>This activity involves the excavation of earthern material from a local borrow pit and the loading of that material into a truck.  Haulage cost based on distance hauled.</v>
      </c>
    </row>
    <row r="38" spans="1:22" ht="53.25" customHeight="1" thickBot="1" x14ac:dyDescent="0.3">
      <c r="A38" s="1334"/>
      <c r="B38" s="245" t="s">
        <v>18</v>
      </c>
      <c r="C38" s="259" t="str">
        <f>VLOOKUP($B38,Activities!$A$10:$P$152,3,FALSE)</f>
        <v>Spreading Materials on ground or an open area excluding compaction (&gt;1,000m3)</v>
      </c>
      <c r="D38" s="239" t="s">
        <v>49</v>
      </c>
      <c r="E38" s="320"/>
      <c r="F38" s="246" t="str">
        <f>VLOOKUP($B38,Activities!$A$10:$P$152,4,FALSE)</f>
        <v>m3</v>
      </c>
      <c r="G38" s="1269"/>
      <c r="H38" s="1270"/>
      <c r="I38" s="272">
        <f>VLOOKUP($B38,Activities!$A$10:$S$152,16,FALSE)</f>
        <v>1.0890037105820705</v>
      </c>
      <c r="J38" s="269"/>
      <c r="K38" s="388">
        <f t="shared" ref="K38" si="11">IF(D38="Y",IF(J38="",I38*E38,J38*E38),0)</f>
        <v>0</v>
      </c>
      <c r="L38" s="248" t="str">
        <f t="shared" ref="L38" si="12">IFERROR(IF(D38="Y",K38/$K$55,0%),"0.0%")</f>
        <v>0.0%</v>
      </c>
      <c r="M38" s="290" t="str">
        <f>VLOOKUP($B38,Activities!$A$10:$S$152,19,FALSE)</f>
        <v xml:space="preserve">This activity involves the spreading of material that has been transported and dumped at the work area. </v>
      </c>
    </row>
    <row r="39" spans="1:22" ht="15.75" thickBot="1" x14ac:dyDescent="0.3">
      <c r="A39" s="293" t="s">
        <v>53</v>
      </c>
      <c r="B39" s="250" t="str">
        <f>A34</f>
        <v>Primary Earthworks and Construction of the Cover for the Heap Leach Facility</v>
      </c>
      <c r="C39" s="251"/>
      <c r="D39" s="252"/>
      <c r="E39" s="253"/>
      <c r="F39" s="252"/>
      <c r="G39" s="252"/>
      <c r="H39" s="252"/>
      <c r="I39" s="254"/>
      <c r="J39" s="255"/>
      <c r="K39" s="256">
        <f>SUM(K34:K38)</f>
        <v>0</v>
      </c>
      <c r="L39" s="252"/>
      <c r="M39" s="257"/>
    </row>
    <row r="40" spans="1:22" ht="48.75" customHeight="1" thickBot="1" x14ac:dyDescent="0.3">
      <c r="A40" s="1333" t="s">
        <v>865</v>
      </c>
      <c r="B40" s="245" t="s">
        <v>70</v>
      </c>
      <c r="C40" s="259" t="str">
        <f>VLOOKUP($B40,Activities!$A$10:$P$152,3,FALSE)</f>
        <v>Sourcing, Carting and Spreading of Topsoil over an Area</v>
      </c>
      <c r="D40" s="239" t="s">
        <v>49</v>
      </c>
      <c r="E40" s="346"/>
      <c r="F40" s="246" t="str">
        <f>VLOOKUP($B40,Activities!$A$10:$P$152,4,FALSE)</f>
        <v>m3</v>
      </c>
      <c r="G40" s="314"/>
      <c r="H40" s="140" t="s">
        <v>264</v>
      </c>
      <c r="I40" s="272">
        <f>VLOOKUP(H40,U18:V22,2)</f>
        <v>0</v>
      </c>
      <c r="J40" s="269"/>
      <c r="K40" s="388">
        <f t="shared" ref="K40:K51" si="13">IF(D40="Y",IF(J40="",I40*E40,J40*E40),0)</f>
        <v>0</v>
      </c>
      <c r="L40" s="248" t="str">
        <f>IFERROR(IF(D40="Y",K40/$K$58,0%),"0.0%")</f>
        <v>0.0%</v>
      </c>
      <c r="M40" s="290" t="str">
        <f>VLOOKUP($B40,Activities!$A$10:$S$152,19,FALSE)</f>
        <v>This activity covers the sourcing of topsoil or suitable growth medium, transporting from the source to the required area and then spreading it over that area.</v>
      </c>
    </row>
    <row r="41" spans="1:22" ht="42.75" customHeight="1" thickBot="1" x14ac:dyDescent="0.3">
      <c r="A41" s="1334"/>
      <c r="B41" s="245" t="s">
        <v>21</v>
      </c>
      <c r="C41" s="259" t="str">
        <f>VLOOKUP($B41,Activities!$A$10:$P$152,3,FALSE)</f>
        <v>Scarification to promote vegetation growth</v>
      </c>
      <c r="D41" s="239" t="s">
        <v>49</v>
      </c>
      <c r="E41" s="607"/>
      <c r="F41" s="246" t="str">
        <f>VLOOKUP($B41,Activities!$A$10:$P$152,4,FALSE)</f>
        <v>Ha</v>
      </c>
      <c r="G41" s="1269"/>
      <c r="H41" s="1270"/>
      <c r="I41" s="272">
        <f>Activities!P18</f>
        <v>323.54530924221694</v>
      </c>
      <c r="J41" s="269"/>
      <c r="K41" s="388">
        <f t="shared" si="13"/>
        <v>0</v>
      </c>
      <c r="L41" s="248" t="str">
        <f>IFERROR(IF(D41="Y",K41/$K$58,0%),"0.0%")</f>
        <v>0.0%</v>
      </c>
      <c r="M41" s="290" t="str">
        <f>VLOOKUP($B41,Activities!$A$10:$S$152,19,FALSE)</f>
        <v xml:space="preserve">This activity is undertaken in preparation for the seeding of a particular area.  </v>
      </c>
    </row>
    <row r="42" spans="1:22" ht="42.75" customHeight="1" thickBot="1" x14ac:dyDescent="0.3">
      <c r="A42" s="1334"/>
      <c r="B42" s="245" t="s">
        <v>626</v>
      </c>
      <c r="C42" s="259" t="str">
        <f>VLOOKUP($B42,Activities!$A$10:$P$152,3,FALSE)</f>
        <v>Purchase and single application of ground ameliorants (e.g. gypsum)</v>
      </c>
      <c r="D42" s="239" t="s">
        <v>49</v>
      </c>
      <c r="E42" s="320"/>
      <c r="F42" s="246" t="str">
        <f>VLOOKUP($B42,Activities!$A$10:$P$152,4,FALSE)</f>
        <v>Ha</v>
      </c>
      <c r="G42" s="1269"/>
      <c r="H42" s="1270"/>
      <c r="I42" s="273">
        <f>VLOOKUP($B42,Activities!$A$10:$S$152,16,FALSE)</f>
        <v>877.38983538153695</v>
      </c>
      <c r="J42" s="269"/>
      <c r="K42" s="388">
        <f t="shared" si="13"/>
        <v>0</v>
      </c>
      <c r="L42" s="248" t="str">
        <f t="shared" ref="L42:L50" si="14">IFERROR(IF(D42="Y",K42/$K$55,0%),"0.0%")</f>
        <v>0.0%</v>
      </c>
      <c r="M42" s="290" t="str">
        <f>VLOOKUP($B42,Activities!$A$10:$S$152,19,FALSE)</f>
        <v>This Activity includes the purchase and single application of ground ameliorants (e.g. gypsum).</v>
      </c>
    </row>
    <row r="43" spans="1:22" ht="42.75" customHeight="1" thickBot="1" x14ac:dyDescent="0.3">
      <c r="A43" s="1334"/>
      <c r="B43" s="245" t="s">
        <v>627</v>
      </c>
      <c r="C43" s="259" t="str">
        <f>VLOOKUP($B43,Activities!$A$10:$P$152,3,FALSE)</f>
        <v>The purchase only of non-native pasture grasses</v>
      </c>
      <c r="D43" s="239" t="s">
        <v>49</v>
      </c>
      <c r="E43" s="320"/>
      <c r="F43" s="246" t="str">
        <f>VLOOKUP($B43,Activities!$A$10:$P$152,4,FALSE)</f>
        <v>Ha</v>
      </c>
      <c r="G43" s="1269"/>
      <c r="H43" s="1270"/>
      <c r="I43" s="273">
        <f>VLOOKUP($B43,Activities!$A$10:$S$152,16,FALSE)</f>
        <v>1774.5180283018869</v>
      </c>
      <c r="J43" s="269"/>
      <c r="K43" s="388">
        <f t="shared" si="13"/>
        <v>0</v>
      </c>
      <c r="L43" s="248" t="str">
        <f t="shared" si="14"/>
        <v>0.0%</v>
      </c>
      <c r="M43" s="290" t="str">
        <f>VLOOKUP($B43,Activities!$A$10:$S$152,19,FALSE)</f>
        <v>This activity covers the purchase of non-native pasture grasses</v>
      </c>
    </row>
    <row r="44" spans="1:22" ht="42.75" customHeight="1" thickBot="1" x14ac:dyDescent="0.3">
      <c r="A44" s="1334"/>
      <c r="B44" s="245" t="s">
        <v>628</v>
      </c>
      <c r="C44" s="259" t="str">
        <f>VLOOKUP($B44,Activities!$A$10:$P$152,3,FALSE)</f>
        <v>The purchase only of general native seed mix</v>
      </c>
      <c r="D44" s="239" t="s">
        <v>49</v>
      </c>
      <c r="E44" s="320"/>
      <c r="F44" s="246" t="str">
        <f>VLOOKUP($B44,Activities!$A$10:$P$152,4,FALSE)</f>
        <v>Ha</v>
      </c>
      <c r="G44" s="1269"/>
      <c r="H44" s="1270"/>
      <c r="I44" s="273">
        <f>VLOOKUP($B44,Activities!$A$10:$S$152,16,FALSE)</f>
        <v>3439.8717452830197</v>
      </c>
      <c r="J44" s="269"/>
      <c r="K44" s="388">
        <f t="shared" si="13"/>
        <v>0</v>
      </c>
      <c r="L44" s="248" t="str">
        <f t="shared" si="14"/>
        <v>0.0%</v>
      </c>
      <c r="M44" s="290" t="str">
        <f>VLOOKUP($B44,Activities!$A$10:$S$152,19,FALSE)</f>
        <v>This activity covers the purchase of general native seed mix</v>
      </c>
    </row>
    <row r="45" spans="1:22" ht="42.75" customHeight="1" thickBot="1" x14ac:dyDescent="0.3">
      <c r="A45" s="1334"/>
      <c r="B45" s="245" t="s">
        <v>629</v>
      </c>
      <c r="C45" s="259" t="str">
        <f>VLOOKUP($B45,Activities!$A$10:$P$152,3,FALSE)</f>
        <v>The purchase only of local provenance native seed mix</v>
      </c>
      <c r="D45" s="239" t="s">
        <v>49</v>
      </c>
      <c r="E45" s="320"/>
      <c r="F45" s="246" t="str">
        <f>VLOOKUP($B45,Activities!$A$10:$P$152,4,FALSE)</f>
        <v>Ha</v>
      </c>
      <c r="G45" s="1269"/>
      <c r="H45" s="1270"/>
      <c r="I45" s="273">
        <f>VLOOKUP($B45,Activities!$A$10:$S$152,16,FALSE)</f>
        <v>10525.680933962265</v>
      </c>
      <c r="J45" s="269"/>
      <c r="K45" s="388">
        <f t="shared" si="13"/>
        <v>0</v>
      </c>
      <c r="L45" s="248" t="str">
        <f t="shared" si="14"/>
        <v>0.0%</v>
      </c>
      <c r="M45" s="290" t="str">
        <f>VLOOKUP($B45,Activities!$A$10:$S$152,19,FALSE)</f>
        <v>This activity covers the purchase of local provenance native seed mix</v>
      </c>
    </row>
    <row r="46" spans="1:22" ht="42.75" customHeight="1" thickBot="1" x14ac:dyDescent="0.3">
      <c r="A46" s="1334"/>
      <c r="B46" s="245" t="s">
        <v>630</v>
      </c>
      <c r="C46" s="259" t="str">
        <f>VLOOKUP($B46,Activities!$A$10:$P$152,3,FALSE)</f>
        <v>The purchase only of fertiliser for broadcast application</v>
      </c>
      <c r="D46" s="239" t="s">
        <v>49</v>
      </c>
      <c r="E46" s="320"/>
      <c r="F46" s="246" t="str">
        <f>VLOOKUP($B46,Activities!$A$10:$P$152,4,FALSE)</f>
        <v>Ha</v>
      </c>
      <c r="G46" s="1269"/>
      <c r="H46" s="1270"/>
      <c r="I46" s="273">
        <f>VLOOKUP($B46,Activities!$A$10:$S$152,16,FALSE)</f>
        <v>613.30500000000006</v>
      </c>
      <c r="J46" s="269"/>
      <c r="K46" s="388">
        <f t="shared" si="13"/>
        <v>0</v>
      </c>
      <c r="L46" s="248" t="str">
        <f t="shared" si="14"/>
        <v>0.0%</v>
      </c>
      <c r="M46" s="290" t="str">
        <f>VLOOKUP($B46,Activities!$A$10:$S$152,19,FALSE)</f>
        <v>This activity covers the purchase of local fertiliser for broadcast application.  It does not inlcude the application.</v>
      </c>
    </row>
    <row r="47" spans="1:22" ht="42.75" customHeight="1" thickBot="1" x14ac:dyDescent="0.3">
      <c r="A47" s="1334"/>
      <c r="B47" s="245" t="s">
        <v>631</v>
      </c>
      <c r="C47" s="259" t="str">
        <f>VLOOKUP($B47,Activities!$A$10:$P$152,3,FALSE)</f>
        <v>The purchase of native tubestock (including slow release fertiliser)</v>
      </c>
      <c r="D47" s="239" t="s">
        <v>49</v>
      </c>
      <c r="E47" s="320"/>
      <c r="F47" s="246" t="str">
        <f>VLOOKUP($B47,Activities!$A$10:$P$152,4,FALSE)</f>
        <v>Ha</v>
      </c>
      <c r="G47" s="1269"/>
      <c r="H47" s="1270"/>
      <c r="I47" s="273">
        <f>VLOOKUP($B47,Activities!$A$10:$S$152,16,FALSE)</f>
        <v>19729.952830188682</v>
      </c>
      <c r="J47" s="269"/>
      <c r="K47" s="388">
        <f t="shared" si="13"/>
        <v>0</v>
      </c>
      <c r="L47" s="248" t="str">
        <f t="shared" si="14"/>
        <v>0.0%</v>
      </c>
      <c r="M47" s="290" t="str">
        <f>VLOOKUP($B47,Activities!$A$10:$S$152,19,FALSE)</f>
        <v>The Activity includes the purchase of native tubestock (including slow release fertiliser).  It does not include planting.</v>
      </c>
    </row>
    <row r="48" spans="1:22" ht="42.75" customHeight="1" thickBot="1" x14ac:dyDescent="0.3">
      <c r="A48" s="1334"/>
      <c r="B48" s="245" t="s">
        <v>632</v>
      </c>
      <c r="C48" s="259" t="str">
        <f>VLOOKUP($B48,Activities!$A$10:$P$152,3,FALSE)</f>
        <v>Direct seeding along rip line or mechanical broadcast seeding</v>
      </c>
      <c r="D48" s="239" t="s">
        <v>49</v>
      </c>
      <c r="E48" s="320"/>
      <c r="F48" s="246" t="str">
        <f>VLOOKUP($B48,Activities!$A$10:$P$152,4,FALSE)</f>
        <v>Ha</v>
      </c>
      <c r="G48" s="1269"/>
      <c r="H48" s="1270"/>
      <c r="I48" s="273">
        <f>VLOOKUP($B48,Activities!$A$10:$S$152,16,FALSE)</f>
        <v>2100.7838269402318</v>
      </c>
      <c r="J48" s="269"/>
      <c r="K48" s="388">
        <f t="shared" si="13"/>
        <v>0</v>
      </c>
      <c r="L48" s="248" t="str">
        <f t="shared" si="14"/>
        <v>0.0%</v>
      </c>
      <c r="M48" s="290" t="str">
        <f>VLOOKUP($B48,Activities!$A$10:$S$152,19,FALSE)</f>
        <v>Sowing of separately purchased seed and or fertiliser for broadcast application that involves scattering seed, by hand or mechanically, over a relatively large area.</v>
      </c>
    </row>
    <row r="49" spans="1:13" ht="48.75" thickBot="1" x14ac:dyDescent="0.3">
      <c r="A49" s="1334"/>
      <c r="B49" s="245" t="s">
        <v>633</v>
      </c>
      <c r="C49" s="259" t="str">
        <f>VLOOKUP($B49,Activities!$A$10:$P$152,3,FALSE)</f>
        <v>Hydromulching (does not include seed or fertiliser)</v>
      </c>
      <c r="D49" s="239" t="s">
        <v>49</v>
      </c>
      <c r="E49" s="240"/>
      <c r="F49" s="246" t="str">
        <f>VLOOKUP($B49,Activities!$A$10:$P$152,4,FALSE)</f>
        <v>Ha</v>
      </c>
      <c r="G49" s="1269"/>
      <c r="H49" s="1270"/>
      <c r="I49" s="273">
        <f>VLOOKUP($B49,Activities!$A$10:$S$152,16,FALSE)</f>
        <v>1583.2664818030244</v>
      </c>
      <c r="J49" s="269"/>
      <c r="K49" s="388">
        <f t="shared" si="13"/>
        <v>0</v>
      </c>
      <c r="L49" s="248" t="str">
        <f t="shared" si="14"/>
        <v>0.0%</v>
      </c>
      <c r="M49" s="290" t="str">
        <f>VLOOKUP($B49,Activities!$A$10:$S$152,19,FALSE)</f>
        <v>Hydromulching planting process that uses a slurry of seed and mulch. It is often used as an erosion control technique as an alternative to the traditional process of broadcasting or sowing dry seed.</v>
      </c>
    </row>
    <row r="50" spans="1:13" ht="32.25" thickBot="1" x14ac:dyDescent="0.3">
      <c r="A50" s="1334"/>
      <c r="B50" s="245" t="s">
        <v>717</v>
      </c>
      <c r="C50" s="259" t="str">
        <f>VLOOKUP($B50,Activities!$A$10:$P$152,3,FALSE)</f>
        <v>Planting of tubestock &lt;15cm (assumes 1,000 plants per hectare)</v>
      </c>
      <c r="D50" s="239" t="s">
        <v>49</v>
      </c>
      <c r="E50" s="240"/>
      <c r="F50" s="246" t="str">
        <f>VLOOKUP($B50,Activities!$A$10:$P$152,4,FALSE)</f>
        <v>Ha</v>
      </c>
      <c r="G50" s="1269"/>
      <c r="H50" s="1270"/>
      <c r="I50" s="273">
        <f>VLOOKUP($B50,Activities!$A$10:$S$152,16,FALSE)</f>
        <v>1714.118869047619</v>
      </c>
      <c r="J50" s="269"/>
      <c r="K50" s="388">
        <f t="shared" si="13"/>
        <v>0</v>
      </c>
      <c r="L50" s="248" t="str">
        <f t="shared" si="14"/>
        <v>0.0%</v>
      </c>
      <c r="M50" s="290" t="str">
        <f>VLOOKUP($B50,Activities!$A$10:$S$152,19,FALSE)</f>
        <v>This Activity covers the hand planting of tubestock plants across a broad area.</v>
      </c>
    </row>
    <row r="51" spans="1:13" ht="65.25" customHeight="1" thickBot="1" x14ac:dyDescent="0.3">
      <c r="A51" s="1335"/>
      <c r="B51" s="245" t="s">
        <v>25</v>
      </c>
      <c r="C51" s="259" t="str">
        <f>VLOOKUP($B51,Activities!$A$10:$P$152,3,FALSE)</f>
        <v xml:space="preserve">Construction of a stock proof fence including appropriate gates </v>
      </c>
      <c r="D51" s="239" t="s">
        <v>49</v>
      </c>
      <c r="E51" s="241"/>
      <c r="F51" s="246" t="str">
        <f>VLOOKUP($B51,Activities!$A$10:$P$152,4,FALSE)</f>
        <v>km</v>
      </c>
      <c r="G51" s="1269"/>
      <c r="H51" s="1270"/>
      <c r="I51" s="273">
        <f>Activities!P21</f>
        <v>13302.992584007126</v>
      </c>
      <c r="J51" s="269"/>
      <c r="K51" s="388">
        <f t="shared" si="13"/>
        <v>0</v>
      </c>
      <c r="L51" s="248" t="str">
        <f>IFERROR(IF(D51="Y",K51/$K$58,0%),"0.0%")</f>
        <v>0.0%</v>
      </c>
      <c r="M51" s="290" t="str">
        <f>VLOOKUP($B51,Activities!$A$10:$S$152,19,FALSE)</f>
        <v>This activity involves the construction of a stock proof fence to protect revegetation against stock and to provide an obstacle to persons to prevent inadvertant access.  It is not designed to prevent a person climbing over it.  It includes an allowance for gates.</v>
      </c>
    </row>
    <row r="52" spans="1:13" ht="15.75" thickBot="1" x14ac:dyDescent="0.3">
      <c r="A52" s="293" t="s">
        <v>53</v>
      </c>
      <c r="B52" s="250" t="str">
        <f>A40</f>
        <v>Topsoil Preparation and Revegetation of Heap Leach Facility</v>
      </c>
      <c r="C52" s="251"/>
      <c r="D52" s="252"/>
      <c r="E52" s="253"/>
      <c r="F52" s="252"/>
      <c r="G52" s="252"/>
      <c r="H52" s="252"/>
      <c r="I52" s="254"/>
      <c r="J52" s="255"/>
      <c r="K52" s="256">
        <f>SUM(K40:K51)</f>
        <v>0</v>
      </c>
      <c r="L52" s="252"/>
      <c r="M52" s="257"/>
    </row>
    <row r="53" spans="1:13" ht="52.5" customHeight="1" thickBot="1" x14ac:dyDescent="0.3">
      <c r="A53" s="1333" t="s">
        <v>866</v>
      </c>
      <c r="B53" s="270"/>
      <c r="C53" s="218" t="s">
        <v>55</v>
      </c>
      <c r="D53" s="239" t="s">
        <v>49</v>
      </c>
      <c r="E53" s="346"/>
      <c r="F53" s="296"/>
      <c r="G53" s="1269"/>
      <c r="H53" s="1270"/>
      <c r="I53" s="355" t="s">
        <v>475</v>
      </c>
      <c r="J53" s="269"/>
      <c r="K53" s="388">
        <f>IF(D53="Y",J53*E53,"")</f>
        <v>0</v>
      </c>
      <c r="L53" s="248" t="str">
        <f>IFERROR(IF(D53="Y",K53/$K$58,0%),"0.0%")</f>
        <v>0.0%</v>
      </c>
      <c r="M53" s="139" t="s">
        <v>56</v>
      </c>
    </row>
    <row r="54" spans="1:13" ht="52.5" customHeight="1" thickBot="1" x14ac:dyDescent="0.3">
      <c r="A54" s="1334"/>
      <c r="B54" s="270"/>
      <c r="C54" s="218" t="s">
        <v>55</v>
      </c>
      <c r="D54" s="239" t="s">
        <v>49</v>
      </c>
      <c r="E54" s="346"/>
      <c r="F54" s="296"/>
      <c r="G54" s="1269"/>
      <c r="H54" s="1270"/>
      <c r="I54" s="355" t="s">
        <v>475</v>
      </c>
      <c r="J54" s="269"/>
      <c r="K54" s="388">
        <f>IF(D54="Y",J54*E54,"")</f>
        <v>0</v>
      </c>
      <c r="L54" s="248" t="str">
        <f>IFERROR(IF(D54="Y",K54/$K$58,0%),"0.0%")</f>
        <v>0.0%</v>
      </c>
      <c r="M54" s="139" t="s">
        <v>56</v>
      </c>
    </row>
    <row r="55" spans="1:13" ht="52.5" customHeight="1" thickBot="1" x14ac:dyDescent="0.3">
      <c r="A55" s="1335"/>
      <c r="B55" s="270"/>
      <c r="C55" s="218" t="s">
        <v>55</v>
      </c>
      <c r="D55" s="239" t="s">
        <v>49</v>
      </c>
      <c r="E55" s="346"/>
      <c r="F55" s="296"/>
      <c r="G55" s="1269"/>
      <c r="H55" s="1270"/>
      <c r="I55" s="355" t="s">
        <v>475</v>
      </c>
      <c r="J55" s="269"/>
      <c r="K55" s="388">
        <f>IF(D55="Y",J55*E55,"")</f>
        <v>0</v>
      </c>
      <c r="L55" s="248" t="str">
        <f>IFERROR(IF(D55="Y",K55/$K$58,0%),"0.0%")</f>
        <v>0.0%</v>
      </c>
      <c r="M55" s="139" t="s">
        <v>56</v>
      </c>
    </row>
    <row r="56" spans="1:13" ht="15.75" thickBot="1" x14ac:dyDescent="0.3">
      <c r="A56" s="293" t="s">
        <v>53</v>
      </c>
      <c r="B56" s="250" t="str">
        <f>A53</f>
        <v>Other Activity in Heap Leach Facility Specific to this Operation</v>
      </c>
      <c r="C56" s="251"/>
      <c r="D56" s="252"/>
      <c r="E56" s="253"/>
      <c r="F56" s="252"/>
      <c r="G56" s="252"/>
      <c r="H56" s="252"/>
      <c r="I56" s="254"/>
      <c r="J56" s="255"/>
      <c r="K56" s="256">
        <f>SUM(K53:K55)</f>
        <v>0</v>
      </c>
      <c r="L56" s="252"/>
      <c r="M56" s="257"/>
    </row>
    <row r="57" spans="1:13" x14ac:dyDescent="0.25">
      <c r="A57" s="260"/>
      <c r="B57" s="260"/>
      <c r="C57" s="261"/>
      <c r="D57" s="262"/>
      <c r="E57" s="263"/>
      <c r="F57" s="262"/>
      <c r="G57" s="262"/>
      <c r="H57" s="262"/>
      <c r="I57" s="264"/>
      <c r="J57" s="265"/>
      <c r="K57" s="266"/>
      <c r="L57" s="262"/>
      <c r="M57" s="261"/>
    </row>
    <row r="58" spans="1:13" ht="21" x14ac:dyDescent="0.25">
      <c r="A58" s="260"/>
      <c r="B58" s="260"/>
      <c r="C58" s="261"/>
      <c r="D58" s="262"/>
      <c r="E58" s="263"/>
      <c r="F58" s="262"/>
      <c r="G58" s="262"/>
      <c r="H58" s="262"/>
      <c r="J58" s="267" t="s">
        <v>932</v>
      </c>
      <c r="K58" s="268">
        <f>K56+K52+K39+K33+K29+K24</f>
        <v>0</v>
      </c>
      <c r="L58" s="262"/>
      <c r="M58" s="261"/>
    </row>
    <row r="59" spans="1:13" x14ac:dyDescent="0.25">
      <c r="A59" s="260"/>
      <c r="B59" s="260"/>
      <c r="C59" s="261"/>
      <c r="D59" s="262"/>
      <c r="E59" s="263"/>
      <c r="F59" s="262"/>
      <c r="G59" s="262"/>
      <c r="H59" s="262"/>
      <c r="I59" s="264"/>
      <c r="J59" s="265"/>
      <c r="K59" s="266"/>
      <c r="L59" s="262"/>
      <c r="M59" s="261"/>
    </row>
    <row r="60" spans="1:13" x14ac:dyDescent="0.25">
      <c r="A60" s="260"/>
      <c r="B60" s="260"/>
      <c r="C60" s="261"/>
      <c r="D60" s="262"/>
      <c r="E60" s="263"/>
      <c r="F60" s="262"/>
      <c r="G60" s="262"/>
      <c r="H60" s="262"/>
      <c r="I60" s="264"/>
      <c r="J60" s="265"/>
      <c r="K60" s="266"/>
      <c r="L60" s="262"/>
      <c r="M60" s="261"/>
    </row>
    <row r="61" spans="1:13" x14ac:dyDescent="0.25">
      <c r="A61" s="260"/>
      <c r="B61" s="260"/>
      <c r="C61" s="261"/>
      <c r="D61" s="262"/>
      <c r="E61" s="263"/>
      <c r="F61" s="262"/>
      <c r="G61" s="262"/>
      <c r="H61" s="262"/>
      <c r="I61" s="264"/>
      <c r="J61" s="265"/>
      <c r="K61" s="266"/>
      <c r="L61" s="262"/>
      <c r="M61" s="261"/>
    </row>
    <row r="62" spans="1:13" x14ac:dyDescent="0.25">
      <c r="A62" s="260"/>
      <c r="B62" s="260"/>
      <c r="C62" s="261"/>
      <c r="D62" s="262"/>
      <c r="E62" s="263"/>
      <c r="F62" s="262"/>
      <c r="G62" s="262"/>
      <c r="H62" s="262"/>
      <c r="I62" s="264"/>
      <c r="J62" s="265"/>
      <c r="K62" s="266"/>
      <c r="L62" s="262"/>
      <c r="M62" s="261"/>
    </row>
    <row r="63" spans="1:13" ht="15.75" x14ac:dyDescent="0.25">
      <c r="A63" s="260"/>
      <c r="B63" s="260"/>
      <c r="C63" s="261"/>
      <c r="D63" s="262"/>
      <c r="E63" s="303"/>
      <c r="F63" s="262"/>
      <c r="G63" s="262"/>
      <c r="H63" s="262"/>
      <c r="I63" s="264"/>
      <c r="J63" s="265"/>
      <c r="K63" s="266"/>
      <c r="L63" s="262"/>
      <c r="M63" s="261"/>
    </row>
    <row r="64" spans="1:13" x14ac:dyDescent="0.25">
      <c r="A64" s="260"/>
      <c r="B64" s="260"/>
      <c r="C64" s="261"/>
      <c r="D64" s="262"/>
      <c r="E64" s="263"/>
      <c r="F64" s="262"/>
      <c r="G64" s="262"/>
      <c r="H64" s="262"/>
      <c r="I64" s="264"/>
      <c r="J64" s="265"/>
      <c r="K64" s="266"/>
      <c r="L64" s="262"/>
      <c r="M64" s="261"/>
    </row>
    <row r="65" spans="1:13" x14ac:dyDescent="0.25">
      <c r="A65" s="260"/>
      <c r="B65" s="260"/>
      <c r="C65" s="261"/>
      <c r="D65" s="262"/>
      <c r="E65" s="263"/>
      <c r="F65" s="262"/>
      <c r="G65" s="262"/>
      <c r="H65" s="262"/>
      <c r="I65" s="264"/>
      <c r="J65" s="265"/>
      <c r="K65" s="266"/>
      <c r="L65" s="262"/>
      <c r="M65" s="261"/>
    </row>
    <row r="66" spans="1:13" x14ac:dyDescent="0.25">
      <c r="A66" s="260"/>
      <c r="B66" s="260"/>
      <c r="C66" s="261"/>
      <c r="D66" s="262"/>
      <c r="E66" s="263"/>
      <c r="F66" s="262"/>
      <c r="G66" s="262"/>
      <c r="H66" s="262"/>
      <c r="I66" s="264"/>
      <c r="J66" s="265"/>
      <c r="K66" s="266"/>
      <c r="L66" s="262"/>
      <c r="M66" s="261"/>
    </row>
    <row r="67" spans="1:13" x14ac:dyDescent="0.25">
      <c r="A67" s="260"/>
      <c r="B67" s="260"/>
      <c r="C67" s="261"/>
      <c r="D67" s="262"/>
      <c r="E67" s="263"/>
      <c r="F67" s="262"/>
      <c r="G67" s="262"/>
      <c r="H67" s="262"/>
      <c r="I67" s="264"/>
      <c r="J67" s="265"/>
      <c r="K67" s="266"/>
      <c r="L67" s="262"/>
      <c r="M67" s="261"/>
    </row>
    <row r="68" spans="1:13" x14ac:dyDescent="0.25">
      <c r="A68" s="260"/>
      <c r="B68" s="260"/>
      <c r="C68" s="261"/>
      <c r="D68" s="262"/>
      <c r="E68" s="263"/>
      <c r="F68" s="262"/>
      <c r="G68" s="262"/>
      <c r="H68" s="262"/>
      <c r="I68" s="264"/>
      <c r="J68" s="265"/>
      <c r="K68" s="266"/>
      <c r="L68" s="262"/>
      <c r="M68" s="261"/>
    </row>
    <row r="69" spans="1:13" x14ac:dyDescent="0.25">
      <c r="A69" s="260"/>
      <c r="B69" s="260"/>
      <c r="C69" s="261"/>
      <c r="D69" s="262"/>
      <c r="E69" s="263"/>
      <c r="F69" s="262"/>
      <c r="G69" s="262"/>
      <c r="H69" s="262"/>
      <c r="I69" s="264"/>
      <c r="J69" s="265"/>
      <c r="K69" s="266"/>
      <c r="L69" s="262"/>
      <c r="M69" s="261"/>
    </row>
    <row r="70" spans="1:13" x14ac:dyDescent="0.25">
      <c r="A70" s="260"/>
      <c r="B70" s="260"/>
      <c r="C70" s="261"/>
      <c r="D70" s="262"/>
      <c r="E70" s="262"/>
      <c r="F70" s="262"/>
      <c r="G70" s="262"/>
      <c r="H70" s="262"/>
      <c r="I70" s="264"/>
      <c r="J70" s="265"/>
      <c r="K70" s="266"/>
      <c r="L70" s="262"/>
      <c r="M70" s="261"/>
    </row>
    <row r="71" spans="1:13" x14ac:dyDescent="0.25">
      <c r="A71" s="260"/>
      <c r="B71" s="260"/>
      <c r="C71" s="261"/>
      <c r="D71" s="262"/>
      <c r="E71" s="262"/>
      <c r="F71" s="262"/>
      <c r="G71" s="262"/>
      <c r="H71" s="262"/>
      <c r="I71" s="264"/>
      <c r="J71" s="265"/>
      <c r="K71" s="266"/>
      <c r="L71" s="262"/>
      <c r="M71" s="261"/>
    </row>
    <row r="72" spans="1:13" x14ac:dyDescent="0.25">
      <c r="C72" s="261"/>
      <c r="D72" s="262"/>
      <c r="E72" s="262"/>
      <c r="F72" s="262"/>
      <c r="G72" s="262"/>
      <c r="H72" s="262"/>
      <c r="I72" s="264"/>
      <c r="J72" s="265"/>
      <c r="K72" s="262"/>
      <c r="L72" s="262"/>
      <c r="M72" s="261"/>
    </row>
    <row r="73" spans="1:13" x14ac:dyDescent="0.25">
      <c r="C73" s="261"/>
      <c r="D73" s="262"/>
      <c r="E73" s="262"/>
      <c r="F73" s="262"/>
      <c r="G73" s="262"/>
      <c r="H73" s="262"/>
      <c r="I73" s="264"/>
      <c r="J73" s="265"/>
      <c r="K73" s="262"/>
      <c r="L73" s="262"/>
      <c r="M73" s="261"/>
    </row>
    <row r="74" spans="1:13" x14ac:dyDescent="0.25">
      <c r="C74" s="261"/>
      <c r="D74" s="262"/>
      <c r="E74" s="262"/>
      <c r="F74" s="262"/>
      <c r="G74" s="262"/>
      <c r="H74" s="262"/>
      <c r="I74" s="262"/>
      <c r="J74" s="262"/>
      <c r="K74" s="262"/>
      <c r="L74" s="262"/>
      <c r="M74" s="261"/>
    </row>
    <row r="75" spans="1:13" x14ac:dyDescent="0.25">
      <c r="D75" s="262"/>
      <c r="E75" s="262"/>
      <c r="F75" s="262"/>
      <c r="G75" s="262"/>
      <c r="H75" s="262"/>
      <c r="I75" s="262"/>
      <c r="J75" s="262"/>
      <c r="K75" s="262"/>
      <c r="L75" s="262"/>
    </row>
    <row r="76" spans="1:13" x14ac:dyDescent="0.25">
      <c r="D76" s="262"/>
      <c r="E76" s="262"/>
      <c r="F76" s="262"/>
      <c r="G76" s="262"/>
      <c r="H76" s="262"/>
      <c r="I76" s="262"/>
      <c r="J76" s="262"/>
      <c r="K76" s="262"/>
      <c r="L76" s="262"/>
    </row>
    <row r="77" spans="1:13" x14ac:dyDescent="0.25">
      <c r="D77" s="262"/>
      <c r="E77" s="262"/>
      <c r="F77" s="262"/>
      <c r="G77" s="262"/>
      <c r="H77" s="262"/>
      <c r="I77" s="262"/>
      <c r="J77" s="262"/>
      <c r="K77" s="262"/>
      <c r="L77" s="262"/>
    </row>
    <row r="78" spans="1:13" x14ac:dyDescent="0.25">
      <c r="D78" s="262"/>
      <c r="E78" s="262"/>
      <c r="F78" s="262"/>
      <c r="G78" s="262"/>
      <c r="H78" s="262"/>
      <c r="I78" s="262"/>
      <c r="J78" s="262"/>
      <c r="K78" s="262"/>
      <c r="L78" s="262"/>
    </row>
    <row r="79" spans="1:13" x14ac:dyDescent="0.25">
      <c r="D79" s="262"/>
      <c r="E79" s="262"/>
      <c r="F79" s="262"/>
      <c r="G79" s="262"/>
      <c r="H79" s="262"/>
      <c r="I79" s="262"/>
      <c r="J79" s="262"/>
      <c r="K79" s="262"/>
      <c r="L79" s="262"/>
    </row>
    <row r="80" spans="1:13" x14ac:dyDescent="0.25">
      <c r="D80" s="262"/>
      <c r="E80" s="262"/>
      <c r="F80" s="262"/>
      <c r="G80" s="262"/>
      <c r="H80" s="262"/>
      <c r="I80" s="262"/>
      <c r="J80" s="262"/>
      <c r="K80" s="262"/>
      <c r="L80" s="262"/>
    </row>
    <row r="81" spans="4:12" x14ac:dyDescent="0.25">
      <c r="D81" s="262"/>
      <c r="E81" s="262"/>
      <c r="F81" s="262"/>
      <c r="G81" s="262"/>
      <c r="H81" s="262"/>
      <c r="I81" s="262"/>
      <c r="J81" s="262"/>
      <c r="K81" s="262"/>
      <c r="L81" s="262"/>
    </row>
    <row r="82" spans="4:12" x14ac:dyDescent="0.25">
      <c r="D82" s="262"/>
      <c r="E82" s="262"/>
      <c r="F82" s="262"/>
      <c r="G82" s="262"/>
      <c r="H82" s="262"/>
      <c r="I82" s="262"/>
      <c r="J82" s="262"/>
      <c r="K82" s="262"/>
      <c r="L82" s="262"/>
    </row>
    <row r="83" spans="4:12" x14ac:dyDescent="0.25">
      <c r="D83" s="262"/>
      <c r="E83" s="262"/>
      <c r="F83" s="262"/>
      <c r="G83" s="262"/>
      <c r="H83" s="262"/>
      <c r="I83" s="262"/>
      <c r="J83" s="262"/>
      <c r="K83" s="262"/>
      <c r="L83" s="262"/>
    </row>
    <row r="84" spans="4:12" x14ac:dyDescent="0.25">
      <c r="D84" s="262"/>
      <c r="E84" s="262"/>
      <c r="F84" s="262"/>
      <c r="G84" s="262"/>
      <c r="H84" s="262"/>
      <c r="I84" s="262"/>
      <c r="J84" s="262"/>
      <c r="K84" s="262"/>
      <c r="L84" s="262"/>
    </row>
    <row r="85" spans="4:12" x14ac:dyDescent="0.25">
      <c r="D85" s="262"/>
      <c r="E85" s="262"/>
      <c r="F85" s="262"/>
      <c r="G85" s="262"/>
      <c r="H85" s="262"/>
      <c r="I85" s="262"/>
      <c r="J85" s="262"/>
      <c r="K85" s="262"/>
      <c r="L85" s="262"/>
    </row>
    <row r="86" spans="4:12" x14ac:dyDescent="0.25">
      <c r="D86" s="262"/>
      <c r="E86" s="262"/>
      <c r="F86" s="262"/>
      <c r="G86" s="262"/>
      <c r="H86" s="262"/>
      <c r="I86" s="262"/>
      <c r="J86" s="262"/>
      <c r="K86" s="262"/>
      <c r="L86" s="262"/>
    </row>
  </sheetData>
  <sheetProtection algorithmName="SHA-512" hashValue="dWOLdySYpw0F/aVK8No+5PdQZ9X50xQf4PhnC9yupa8pLBp/bPIZJ+9AExbW14IXvi7PUYtM39W6WT4RFNf6uA==" saltValue="j9jWuqkvj6uBcAWLWSAj9g==" spinCount="100000" sheet="1" formatCells="0" formatRows="0" selectLockedCells="1"/>
  <mergeCells count="57">
    <mergeCell ref="A25:A28"/>
    <mergeCell ref="G25:H25"/>
    <mergeCell ref="G26:H26"/>
    <mergeCell ref="G27:H27"/>
    <mergeCell ref="G23:H23"/>
    <mergeCell ref="A22:A23"/>
    <mergeCell ref="A30:A32"/>
    <mergeCell ref="G30:H30"/>
    <mergeCell ref="G32:H32"/>
    <mergeCell ref="A34:A38"/>
    <mergeCell ref="G34:H34"/>
    <mergeCell ref="G38:H38"/>
    <mergeCell ref="G31:H31"/>
    <mergeCell ref="G35:H35"/>
    <mergeCell ref="A53:A55"/>
    <mergeCell ref="G53:H53"/>
    <mergeCell ref="G54:H54"/>
    <mergeCell ref="G55:H55"/>
    <mergeCell ref="A40:A51"/>
    <mergeCell ref="G41:H41"/>
    <mergeCell ref="G49:H49"/>
    <mergeCell ref="G50:H50"/>
    <mergeCell ref="G51:H51"/>
    <mergeCell ref="G45:H45"/>
    <mergeCell ref="G46:H46"/>
    <mergeCell ref="G47:H47"/>
    <mergeCell ref="G48:H48"/>
    <mergeCell ref="C15:E15"/>
    <mergeCell ref="A16:E19"/>
    <mergeCell ref="A1:B1"/>
    <mergeCell ref="C1:E1"/>
    <mergeCell ref="K1:L1"/>
    <mergeCell ref="C2:E2"/>
    <mergeCell ref="C3:E3"/>
    <mergeCell ref="F1:J3"/>
    <mergeCell ref="R1:V1"/>
    <mergeCell ref="R8:V8"/>
    <mergeCell ref="R16:V16"/>
    <mergeCell ref="A5:E6"/>
    <mergeCell ref="G5:J5"/>
    <mergeCell ref="G6:M7"/>
    <mergeCell ref="B7:E7"/>
    <mergeCell ref="B8:E8"/>
    <mergeCell ref="G8:M19"/>
    <mergeCell ref="B9:E9"/>
    <mergeCell ref="B10:E10"/>
    <mergeCell ref="B11:E11"/>
    <mergeCell ref="B12:E12"/>
    <mergeCell ref="A14:B14"/>
    <mergeCell ref="C14:E14"/>
    <mergeCell ref="A15:B15"/>
    <mergeCell ref="Q23:S23"/>
    <mergeCell ref="G42:H42"/>
    <mergeCell ref="G43:H43"/>
    <mergeCell ref="G44:H44"/>
    <mergeCell ref="L20:M20"/>
    <mergeCell ref="G21:H21"/>
  </mergeCells>
  <dataValidations count="5">
    <dataValidation type="list" allowBlank="1" showInputMessage="1" showErrorMessage="1" sqref="H36" xr:uid="{00000000-0002-0000-1200-000000000000}">
      <formula1>$U$3:$U$7</formula1>
    </dataValidation>
    <dataValidation type="list" allowBlank="1" showInputMessage="1" showErrorMessage="1" sqref="H37" xr:uid="{00000000-0002-0000-1200-000001000000}">
      <formula1>$U$10:$U$14</formula1>
    </dataValidation>
    <dataValidation type="list" allowBlank="1" showInputMessage="1" showErrorMessage="1" sqref="H40" xr:uid="{00000000-0002-0000-1200-000002000000}">
      <formula1>$U$18:$U$22</formula1>
    </dataValidation>
    <dataValidation type="list" allowBlank="1" showInputMessage="1" showErrorMessage="1" sqref="H22" xr:uid="{00000000-0002-0000-1200-000003000000}">
      <formula1>$X$2:$X$6</formula1>
    </dataValidation>
    <dataValidation type="list" allowBlank="1" showInputMessage="1" showErrorMessage="1" sqref="H28" xr:uid="{00000000-0002-0000-1200-000004000000}">
      <formula1>$P$25:$P$29</formula1>
    </dataValidation>
  </dataValidations>
  <pageMargins left="0.70866141732283472" right="0.70866141732283472" top="0.74803149606299213" bottom="0.74803149606299213" header="0.31496062992125984" footer="0.31496062992125984"/>
  <pageSetup paperSize="9" scale="52" fitToHeight="3" orientation="landscape" r:id="rId1"/>
  <headerFooter>
    <oddHeader>&amp;LDepartment for Energy and Mining&amp;C&amp;"Arial"&amp;12&amp;KA80000 OFFICIAL&amp;1#_x000D_</oddHeader>
    <oddFooter>&amp;L&amp;Z
&amp;F&amp;C&amp;P&amp;R&amp;D</oddFooter>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pageSetUpPr fitToPage="1"/>
  </sheetPr>
  <dimension ref="A1:Y86"/>
  <sheetViews>
    <sheetView showGridLines="0" zoomScale="90" zoomScaleNormal="90" workbookViewId="0">
      <selection activeCell="G8" sqref="G8:M19"/>
    </sheetView>
  </sheetViews>
  <sheetFormatPr defaultColWidth="9.140625" defaultRowHeight="15" x14ac:dyDescent="0.25"/>
  <cols>
    <col min="1" max="1" width="18.5703125" style="233" customWidth="1"/>
    <col min="2" max="2" width="10.42578125" style="233" customWidth="1"/>
    <col min="3" max="3" width="38.42578125" style="233" customWidth="1"/>
    <col min="4" max="4" width="13.5703125" style="233" customWidth="1"/>
    <col min="5" max="5" width="11" style="233" customWidth="1"/>
    <col min="6" max="6" width="9.140625" style="233"/>
    <col min="7" max="7" width="21.5703125" style="233" customWidth="1"/>
    <col min="8" max="8" width="15" style="233" customWidth="1"/>
    <col min="9" max="9" width="12.28515625" style="233" customWidth="1"/>
    <col min="10" max="10" width="12.140625" style="233" customWidth="1"/>
    <col min="11" max="11" width="16.7109375" style="233" customWidth="1"/>
    <col min="12" max="12" width="13.5703125" style="233" customWidth="1"/>
    <col min="13" max="13" width="56.5703125" style="233" customWidth="1"/>
    <col min="14" max="16" width="9.140625" style="233"/>
    <col min="17" max="17" width="11" style="233" customWidth="1"/>
    <col min="18" max="18" width="9.140625" style="233"/>
    <col min="19" max="19" width="12.5703125" style="233" customWidth="1"/>
    <col min="20" max="20" width="9.140625" style="233"/>
    <col min="21" max="21" width="10.7109375" style="233" bestFit="1" customWidth="1"/>
    <col min="22" max="23" width="9.140625" style="233"/>
    <col min="24" max="24" width="29.42578125" style="233" bestFit="1" customWidth="1"/>
    <col min="25" max="25" width="10.5703125" style="233" bestFit="1" customWidth="1"/>
    <col min="26" max="16384" width="9.140625" style="233"/>
  </cols>
  <sheetData>
    <row r="1" spans="1:25" ht="42.75" customHeight="1" x14ac:dyDescent="0.25">
      <c r="A1" s="1322" t="s">
        <v>512</v>
      </c>
      <c r="B1" s="1323"/>
      <c r="C1" s="1324" t="str">
        <f>'Summary Page'!E13</f>
        <v/>
      </c>
      <c r="D1" s="1325"/>
      <c r="E1" s="1326"/>
      <c r="F1" s="1360"/>
      <c r="G1" s="1285"/>
      <c r="H1" s="1285"/>
      <c r="I1" s="1285"/>
      <c r="J1" s="1286"/>
      <c r="K1" s="1295" t="s">
        <v>460</v>
      </c>
      <c r="L1" s="1295"/>
      <c r="M1" s="404" t="s">
        <v>875</v>
      </c>
      <c r="P1" s="525" t="str">
        <f>B36</f>
        <v>A1005</v>
      </c>
      <c r="Q1" s="535" t="s">
        <v>19</v>
      </c>
      <c r="R1" s="1273" t="s">
        <v>62</v>
      </c>
      <c r="S1" s="1274"/>
      <c r="T1" s="1274"/>
      <c r="U1" s="1274"/>
      <c r="V1" s="1275"/>
      <c r="X1" s="516" t="s">
        <v>74</v>
      </c>
      <c r="Y1" s="517" t="str">
        <f>B22</f>
        <v>A1096</v>
      </c>
    </row>
    <row r="2" spans="1:25" ht="30" x14ac:dyDescent="0.35">
      <c r="A2" s="368" t="s">
        <v>461</v>
      </c>
      <c r="B2" s="325">
        <v>7</v>
      </c>
      <c r="C2" s="1296" t="str">
        <f>'Summary Page'!E19</f>
        <v/>
      </c>
      <c r="D2" s="1297"/>
      <c r="E2" s="1348"/>
      <c r="F2" s="1287"/>
      <c r="G2" s="1288"/>
      <c r="H2" s="1288"/>
      <c r="I2" s="1288"/>
      <c r="J2" s="1289"/>
      <c r="K2" s="326"/>
      <c r="L2" s="327" t="s">
        <v>152</v>
      </c>
      <c r="M2" s="328">
        <f>K58</f>
        <v>0</v>
      </c>
      <c r="P2" s="297" t="s">
        <v>61</v>
      </c>
      <c r="Q2" s="371" t="s">
        <v>58</v>
      </c>
      <c r="R2" s="371" t="s">
        <v>59</v>
      </c>
      <c r="S2" s="371" t="s">
        <v>60</v>
      </c>
      <c r="T2" s="371" t="s">
        <v>53</v>
      </c>
      <c r="U2" s="372" t="s">
        <v>61</v>
      </c>
      <c r="V2" s="373" t="s">
        <v>53</v>
      </c>
      <c r="X2" s="41" t="s">
        <v>833</v>
      </c>
      <c r="Y2" s="466">
        <f>VLOOKUP(Y1,Activities!A10:Q129,16,FALSE)</f>
        <v>27868.467286149284</v>
      </c>
    </row>
    <row r="3" spans="1:25" ht="21" x14ac:dyDescent="0.25">
      <c r="A3" s="329" t="s">
        <v>267</v>
      </c>
      <c r="B3" s="330">
        <f>'Version Control'!B50</f>
        <v>7</v>
      </c>
      <c r="C3" s="1356"/>
      <c r="D3" s="1357"/>
      <c r="E3" s="1358"/>
      <c r="F3" s="1290"/>
      <c r="G3" s="1291"/>
      <c r="H3" s="1291"/>
      <c r="I3" s="1291"/>
      <c r="J3" s="1292"/>
      <c r="K3" s="331"/>
      <c r="L3" s="332" t="s">
        <v>462</v>
      </c>
      <c r="M3" s="333">
        <f>'Summary Page'!J73</f>
        <v>0</v>
      </c>
      <c r="P3" s="374" t="s">
        <v>35</v>
      </c>
      <c r="Q3" s="357">
        <f>VLOOKUP(P1,Activities!$A$10:$Q$152,16,FALSE)</f>
        <v>1.1086505828514972</v>
      </c>
      <c r="R3" s="357">
        <f>VLOOKUP(Q1,Activities!$A$10:$Q$152,16,FALSE)</f>
        <v>1.1303836975020005</v>
      </c>
      <c r="S3" s="376">
        <v>1</v>
      </c>
      <c r="T3" s="375">
        <f>R3+Q3</f>
        <v>2.2390342803534979</v>
      </c>
      <c r="U3" s="235" t="s">
        <v>35</v>
      </c>
      <c r="V3" s="377">
        <f>T3</f>
        <v>2.2390342803534979</v>
      </c>
      <c r="X3" s="71" t="s">
        <v>836</v>
      </c>
      <c r="Y3" s="467">
        <f>Y2*2</f>
        <v>55736.934572298567</v>
      </c>
    </row>
    <row r="4" spans="1:25" ht="15" customHeight="1" x14ac:dyDescent="0.25">
      <c r="A4" s="334" t="s">
        <v>463</v>
      </c>
      <c r="B4" s="335">
        <f>'Version Control'!A50</f>
        <v>45531</v>
      </c>
      <c r="K4" s="294"/>
      <c r="L4" s="336" t="s">
        <v>464</v>
      </c>
      <c r="M4" s="337" t="e">
        <f>M2/M3</f>
        <v>#DIV/0!</v>
      </c>
      <c r="P4" s="374" t="s">
        <v>36</v>
      </c>
      <c r="Q4" s="375">
        <f>Activities!P$14</f>
        <v>1.1086505828514972</v>
      </c>
      <c r="R4" s="375">
        <f>R3*2</f>
        <v>2.260767395004001</v>
      </c>
      <c r="S4" s="376">
        <v>0.8</v>
      </c>
      <c r="T4" s="375">
        <f>Q4+(R4*S4)</f>
        <v>2.9172644988546983</v>
      </c>
      <c r="U4" s="235" t="s">
        <v>36</v>
      </c>
      <c r="V4" s="377">
        <f>T4</f>
        <v>2.9172644988546983</v>
      </c>
      <c r="X4" s="71" t="s">
        <v>834</v>
      </c>
      <c r="Y4" s="467">
        <f>Y2*3-1</f>
        <v>83604.401858447847</v>
      </c>
    </row>
    <row r="5" spans="1:25" ht="15" customHeight="1" x14ac:dyDescent="0.25">
      <c r="A5" s="1349" t="s">
        <v>465</v>
      </c>
      <c r="B5" s="1298"/>
      <c r="C5" s="1298"/>
      <c r="D5" s="1298"/>
      <c r="E5" s="1299"/>
      <c r="G5" s="1302" t="s">
        <v>466</v>
      </c>
      <c r="H5" s="1303"/>
      <c r="I5" s="1303"/>
      <c r="J5" s="1304"/>
      <c r="P5" s="374" t="s">
        <v>37</v>
      </c>
      <c r="Q5" s="375">
        <f>Activities!P$14</f>
        <v>1.1086505828514972</v>
      </c>
      <c r="R5" s="375">
        <f>R3*4</f>
        <v>4.5215347900080021</v>
      </c>
      <c r="S5" s="376">
        <v>0.7</v>
      </c>
      <c r="T5" s="375">
        <f>Q5+(R5*S5)</f>
        <v>4.2737249358570981</v>
      </c>
      <c r="U5" s="235" t="s">
        <v>37</v>
      </c>
      <c r="V5" s="377">
        <f>T5</f>
        <v>4.2737249358570981</v>
      </c>
      <c r="X5" s="71" t="s">
        <v>835</v>
      </c>
      <c r="Y5" s="467">
        <f>Y2*5-1</f>
        <v>139341.33643074642</v>
      </c>
    </row>
    <row r="6" spans="1:25" ht="21" customHeight="1" x14ac:dyDescent="0.25">
      <c r="A6" s="1350"/>
      <c r="B6" s="1351"/>
      <c r="C6" s="1351"/>
      <c r="D6" s="1351"/>
      <c r="E6" s="1352"/>
      <c r="F6" s="299"/>
      <c r="G6" s="1305" t="s">
        <v>484</v>
      </c>
      <c r="H6" s="1306"/>
      <c r="I6" s="1306"/>
      <c r="J6" s="1306"/>
      <c r="K6" s="1306"/>
      <c r="L6" s="1306"/>
      <c r="M6" s="1307"/>
      <c r="P6" s="374" t="s">
        <v>38</v>
      </c>
      <c r="Q6" s="375">
        <f>Activities!P$14</f>
        <v>1.1086505828514972</v>
      </c>
      <c r="R6" s="375">
        <f>R3*8</f>
        <v>9.0430695800160041</v>
      </c>
      <c r="S6" s="376">
        <v>0.6</v>
      </c>
      <c r="T6" s="375">
        <f>Q6+(R6*S6)</f>
        <v>6.5344923308610987</v>
      </c>
      <c r="U6" s="235" t="s">
        <v>244</v>
      </c>
      <c r="V6" s="377">
        <f>T6</f>
        <v>6.5344923308610987</v>
      </c>
      <c r="X6" s="52" t="s">
        <v>613</v>
      </c>
      <c r="Y6" s="124"/>
    </row>
    <row r="7" spans="1:25" ht="15" customHeight="1" x14ac:dyDescent="0.25">
      <c r="A7" s="348">
        <v>1</v>
      </c>
      <c r="B7" s="1353" t="s">
        <v>868</v>
      </c>
      <c r="C7" s="1354"/>
      <c r="D7" s="1354"/>
      <c r="E7" s="1355"/>
      <c r="F7" s="339"/>
      <c r="G7" s="1308"/>
      <c r="H7" s="1309"/>
      <c r="I7" s="1309"/>
      <c r="J7" s="1309"/>
      <c r="K7" s="1309"/>
      <c r="L7" s="1309"/>
      <c r="M7" s="1310"/>
      <c r="P7" s="238"/>
      <c r="Q7" s="236"/>
      <c r="R7" s="236"/>
      <c r="S7" s="236"/>
      <c r="T7" s="236"/>
      <c r="U7" s="236" t="s">
        <v>264</v>
      </c>
      <c r="V7" s="237"/>
    </row>
    <row r="8" spans="1:25" ht="18.75" customHeight="1" x14ac:dyDescent="0.3">
      <c r="A8" s="297">
        <v>2</v>
      </c>
      <c r="B8" s="1340" t="s">
        <v>869</v>
      </c>
      <c r="C8" s="1341"/>
      <c r="D8" s="1341"/>
      <c r="E8" s="1342"/>
      <c r="F8" s="339"/>
      <c r="G8" s="1137"/>
      <c r="H8" s="1138"/>
      <c r="I8" s="1138"/>
      <c r="J8" s="1138"/>
      <c r="K8" s="1138"/>
      <c r="L8" s="1138"/>
      <c r="M8" s="1139"/>
      <c r="P8" s="370" t="str">
        <f>B37</f>
        <v>A1006</v>
      </c>
      <c r="Q8" s="550" t="s">
        <v>19</v>
      </c>
      <c r="R8" s="1273" t="s">
        <v>893</v>
      </c>
      <c r="S8" s="1274"/>
      <c r="T8" s="1274"/>
      <c r="U8" s="1274"/>
      <c r="V8" s="1275"/>
    </row>
    <row r="9" spans="1:25" ht="15.75" customHeight="1" x14ac:dyDescent="0.25">
      <c r="A9" s="297">
        <v>3</v>
      </c>
      <c r="B9" s="1343" t="s">
        <v>870</v>
      </c>
      <c r="C9" s="1344"/>
      <c r="D9" s="1344"/>
      <c r="E9" s="1345"/>
      <c r="F9" s="339"/>
      <c r="G9" s="1140"/>
      <c r="H9" s="1329"/>
      <c r="I9" s="1329"/>
      <c r="J9" s="1329"/>
      <c r="K9" s="1329"/>
      <c r="L9" s="1329"/>
      <c r="M9" s="1142"/>
      <c r="P9" s="297" t="s">
        <v>61</v>
      </c>
      <c r="Q9" s="371" t="s">
        <v>58</v>
      </c>
      <c r="R9" s="371" t="s">
        <v>59</v>
      </c>
      <c r="S9" s="371" t="s">
        <v>60</v>
      </c>
      <c r="T9" s="371" t="s">
        <v>53</v>
      </c>
      <c r="U9" s="372" t="s">
        <v>61</v>
      </c>
      <c r="V9" s="373" t="s">
        <v>53</v>
      </c>
    </row>
    <row r="10" spans="1:25" ht="15" customHeight="1" x14ac:dyDescent="0.25">
      <c r="A10" s="297">
        <v>4</v>
      </c>
      <c r="B10" s="1327" t="s">
        <v>511</v>
      </c>
      <c r="C10" s="1327"/>
      <c r="D10" s="1327"/>
      <c r="E10" s="1328"/>
      <c r="F10" s="339"/>
      <c r="G10" s="1140"/>
      <c r="H10" s="1329"/>
      <c r="I10" s="1329"/>
      <c r="J10" s="1329"/>
      <c r="K10" s="1329"/>
      <c r="L10" s="1329"/>
      <c r="M10" s="1142"/>
      <c r="P10" s="374" t="s">
        <v>35</v>
      </c>
      <c r="Q10" s="357">
        <f>VLOOKUP(P8,Activities!$A$10:$Q$152,16,FALSE)</f>
        <v>1.1086505828514972</v>
      </c>
      <c r="R10" s="357">
        <f>VLOOKUP(Q8,Activities!$A$10:$Q$152,16,FALSE)</f>
        <v>1.1303836975020005</v>
      </c>
      <c r="S10" s="376">
        <v>1</v>
      </c>
      <c r="T10" s="375">
        <f>R10+Q10</f>
        <v>2.2390342803534979</v>
      </c>
      <c r="U10" s="235" t="s">
        <v>35</v>
      </c>
      <c r="V10" s="377">
        <f>T10</f>
        <v>2.2390342803534979</v>
      </c>
    </row>
    <row r="11" spans="1:25" ht="15" customHeight="1" x14ac:dyDescent="0.25">
      <c r="A11" s="297">
        <v>5</v>
      </c>
      <c r="B11" s="1330"/>
      <c r="C11" s="1331"/>
      <c r="D11" s="1331"/>
      <c r="E11" s="1332"/>
      <c r="F11" s="339"/>
      <c r="G11" s="1140"/>
      <c r="H11" s="1329"/>
      <c r="I11" s="1329"/>
      <c r="J11" s="1329"/>
      <c r="K11" s="1329"/>
      <c r="L11" s="1329"/>
      <c r="M11" s="1142"/>
      <c r="P11" s="374" t="s">
        <v>36</v>
      </c>
      <c r="Q11" s="375">
        <f>Q10</f>
        <v>1.1086505828514972</v>
      </c>
      <c r="R11" s="375">
        <f>R10*2</f>
        <v>2.260767395004001</v>
      </c>
      <c r="S11" s="376">
        <v>0.8</v>
      </c>
      <c r="T11" s="375">
        <f>Q11+(R11*S11)</f>
        <v>2.9172644988546983</v>
      </c>
      <c r="U11" s="235" t="s">
        <v>36</v>
      </c>
      <c r="V11" s="377">
        <f>T11</f>
        <v>2.9172644988546983</v>
      </c>
    </row>
    <row r="12" spans="1:25" ht="15" customHeight="1" x14ac:dyDescent="0.25">
      <c r="A12" s="305">
        <v>6</v>
      </c>
      <c r="B12" s="1346"/>
      <c r="C12" s="1346"/>
      <c r="D12" s="1346"/>
      <c r="E12" s="1347"/>
      <c r="G12" s="1140"/>
      <c r="H12" s="1329"/>
      <c r="I12" s="1329"/>
      <c r="J12" s="1329"/>
      <c r="K12" s="1329"/>
      <c r="L12" s="1329"/>
      <c r="M12" s="1142"/>
      <c r="P12" s="374" t="s">
        <v>37</v>
      </c>
      <c r="Q12" s="375">
        <f t="shared" ref="Q12:Q13" si="0">Q11</f>
        <v>1.1086505828514972</v>
      </c>
      <c r="R12" s="375">
        <f>R10*4</f>
        <v>4.5215347900080021</v>
      </c>
      <c r="S12" s="376">
        <v>0.7</v>
      </c>
      <c r="T12" s="375">
        <f>Q12+(R12*S12)</f>
        <v>4.2737249358570981</v>
      </c>
      <c r="U12" s="235" t="s">
        <v>37</v>
      </c>
      <c r="V12" s="377">
        <f>T12</f>
        <v>4.2737249358570981</v>
      </c>
    </row>
    <row r="13" spans="1:25" ht="15" customHeight="1" x14ac:dyDescent="0.25">
      <c r="A13" s="340" t="s">
        <v>34</v>
      </c>
      <c r="G13" s="1140"/>
      <c r="H13" s="1329"/>
      <c r="I13" s="1329"/>
      <c r="J13" s="1329"/>
      <c r="K13" s="1329"/>
      <c r="L13" s="1329"/>
      <c r="M13" s="1142"/>
      <c r="P13" s="374" t="s">
        <v>38</v>
      </c>
      <c r="Q13" s="375">
        <f t="shared" si="0"/>
        <v>1.1086505828514972</v>
      </c>
      <c r="R13" s="375">
        <f>R10*8</f>
        <v>9.0430695800160041</v>
      </c>
      <c r="S13" s="376">
        <v>0.6</v>
      </c>
      <c r="T13" s="375">
        <f>Q13+(R13*S13)</f>
        <v>6.5344923308610987</v>
      </c>
      <c r="U13" s="235" t="s">
        <v>244</v>
      </c>
      <c r="V13" s="377">
        <f>T13</f>
        <v>6.5344923308610987</v>
      </c>
    </row>
    <row r="14" spans="1:25" ht="15" customHeight="1" x14ac:dyDescent="0.25">
      <c r="A14" s="1276"/>
      <c r="B14" s="1277"/>
      <c r="C14" s="1278" t="s">
        <v>352</v>
      </c>
      <c r="D14" s="1278"/>
      <c r="E14" s="1279"/>
      <c r="G14" s="1140"/>
      <c r="H14" s="1329"/>
      <c r="I14" s="1329"/>
      <c r="J14" s="1329"/>
      <c r="K14" s="1329"/>
      <c r="L14" s="1329"/>
      <c r="M14" s="1142"/>
      <c r="P14" s="238"/>
      <c r="Q14" s="236"/>
      <c r="R14" s="236"/>
      <c r="S14" s="236"/>
      <c r="T14" s="236"/>
      <c r="U14" s="236" t="s">
        <v>264</v>
      </c>
      <c r="V14" s="237"/>
    </row>
    <row r="15" spans="1:25" ht="15" customHeight="1" x14ac:dyDescent="0.25">
      <c r="A15" s="1201"/>
      <c r="B15" s="1202"/>
      <c r="C15" s="1280" t="s">
        <v>467</v>
      </c>
      <c r="D15" s="1280"/>
      <c r="E15" s="1281"/>
      <c r="G15" s="1140"/>
      <c r="H15" s="1329"/>
      <c r="I15" s="1329"/>
      <c r="J15" s="1329"/>
      <c r="K15" s="1329"/>
      <c r="L15" s="1329"/>
      <c r="M15" s="1142"/>
    </row>
    <row r="16" spans="1:25" ht="18.75" customHeight="1" x14ac:dyDescent="0.3">
      <c r="A16" s="1284" t="s">
        <v>824</v>
      </c>
      <c r="B16" s="1285"/>
      <c r="C16" s="1285"/>
      <c r="D16" s="1285"/>
      <c r="E16" s="1286"/>
      <c r="G16" s="1140"/>
      <c r="H16" s="1329"/>
      <c r="I16" s="1329"/>
      <c r="J16" s="1329"/>
      <c r="K16" s="1329"/>
      <c r="L16" s="1329"/>
      <c r="M16" s="1142"/>
      <c r="P16" s="370" t="str">
        <f>B40</f>
        <v>A1013</v>
      </c>
      <c r="Q16" s="550" t="s">
        <v>19</v>
      </c>
      <c r="R16" s="1273" t="s">
        <v>72</v>
      </c>
      <c r="S16" s="1274"/>
      <c r="T16" s="1274"/>
      <c r="U16" s="1274"/>
      <c r="V16" s="1275"/>
    </row>
    <row r="17" spans="1:22" ht="15" customHeight="1" x14ac:dyDescent="0.25">
      <c r="A17" s="1287"/>
      <c r="B17" s="1288"/>
      <c r="C17" s="1288"/>
      <c r="D17" s="1288"/>
      <c r="E17" s="1289"/>
      <c r="G17" s="1140"/>
      <c r="H17" s="1329"/>
      <c r="I17" s="1329"/>
      <c r="J17" s="1329"/>
      <c r="K17" s="1329"/>
      <c r="L17" s="1329"/>
      <c r="M17" s="1142"/>
      <c r="P17" s="297" t="s">
        <v>61</v>
      </c>
      <c r="Q17" s="371" t="s">
        <v>58</v>
      </c>
      <c r="R17" s="371" t="s">
        <v>59</v>
      </c>
      <c r="S17" s="371" t="s">
        <v>60</v>
      </c>
      <c r="T17" s="371" t="s">
        <v>53</v>
      </c>
      <c r="U17" s="372" t="s">
        <v>61</v>
      </c>
      <c r="V17" s="373" t="s">
        <v>53</v>
      </c>
    </row>
    <row r="18" spans="1:22" ht="15" customHeight="1" x14ac:dyDescent="0.25">
      <c r="A18" s="1287"/>
      <c r="B18" s="1288"/>
      <c r="C18" s="1288"/>
      <c r="D18" s="1288"/>
      <c r="E18" s="1289"/>
      <c r="G18" s="1140"/>
      <c r="H18" s="1329"/>
      <c r="I18" s="1329"/>
      <c r="J18" s="1329"/>
      <c r="K18" s="1329"/>
      <c r="L18" s="1329"/>
      <c r="M18" s="1142"/>
      <c r="P18" s="374" t="s">
        <v>35</v>
      </c>
      <c r="Q18" s="357">
        <f>VLOOKUP(P16,Activities!$A$10:$Q$152,16,FALSE)</f>
        <v>1.4289323610931841</v>
      </c>
      <c r="R18" s="357">
        <f>VLOOKUP(Q16,Activities!$A$10:$Q$152,16,FALSE)</f>
        <v>1.1303836975020005</v>
      </c>
      <c r="S18" s="376">
        <v>1</v>
      </c>
      <c r="T18" s="375">
        <f>R18+Q18</f>
        <v>2.5593160585951846</v>
      </c>
      <c r="U18" s="235" t="s">
        <v>35</v>
      </c>
      <c r="V18" s="377">
        <f>T18</f>
        <v>2.5593160585951846</v>
      </c>
    </row>
    <row r="19" spans="1:22" ht="15" customHeight="1" x14ac:dyDescent="0.25">
      <c r="A19" s="1290"/>
      <c r="B19" s="1291"/>
      <c r="C19" s="1291"/>
      <c r="D19" s="1291"/>
      <c r="E19" s="1292"/>
      <c r="G19" s="1143"/>
      <c r="H19" s="1144"/>
      <c r="I19" s="1144"/>
      <c r="J19" s="1144"/>
      <c r="K19" s="1144"/>
      <c r="L19" s="1144"/>
      <c r="M19" s="1145"/>
      <c r="P19" s="374" t="s">
        <v>36</v>
      </c>
      <c r="Q19" s="375">
        <f>Q18</f>
        <v>1.4289323610931841</v>
      </c>
      <c r="R19" s="375">
        <f>R18*2</f>
        <v>2.260767395004001</v>
      </c>
      <c r="S19" s="376">
        <v>0.8</v>
      </c>
      <c r="T19" s="375">
        <f>Q19+(R19*S19)</f>
        <v>3.237546277096385</v>
      </c>
      <c r="U19" s="235" t="s">
        <v>36</v>
      </c>
      <c r="V19" s="377">
        <f>T19</f>
        <v>3.237546277096385</v>
      </c>
    </row>
    <row r="20" spans="1:22" ht="15" customHeight="1" x14ac:dyDescent="0.25">
      <c r="D20" s="366"/>
      <c r="J20" s="219"/>
      <c r="K20" s="367"/>
      <c r="L20" s="1291"/>
      <c r="M20" s="1292"/>
      <c r="P20" s="374" t="s">
        <v>37</v>
      </c>
      <c r="Q20" s="375">
        <f t="shared" ref="Q20:Q21" si="1">Q19</f>
        <v>1.4289323610931841</v>
      </c>
      <c r="R20" s="375">
        <f>R18*4</f>
        <v>4.5215347900080021</v>
      </c>
      <c r="S20" s="376">
        <v>0.7</v>
      </c>
      <c r="T20" s="375">
        <f>Q20+(R20*S20)</f>
        <v>4.5940067140987857</v>
      </c>
      <c r="U20" s="235" t="s">
        <v>37</v>
      </c>
      <c r="V20" s="377">
        <f>T20</f>
        <v>4.5940067140987857</v>
      </c>
    </row>
    <row r="21" spans="1:22" ht="60.75" customHeight="1" thickBot="1" x14ac:dyDescent="0.3">
      <c r="A21" s="119" t="s">
        <v>39</v>
      </c>
      <c r="B21" s="120" t="s">
        <v>40</v>
      </c>
      <c r="C21" s="120" t="s">
        <v>479</v>
      </c>
      <c r="D21" s="311" t="s">
        <v>272</v>
      </c>
      <c r="E21" s="311" t="s">
        <v>43</v>
      </c>
      <c r="F21" s="120" t="s">
        <v>273</v>
      </c>
      <c r="G21" s="1212" t="s">
        <v>416</v>
      </c>
      <c r="H21" s="1212"/>
      <c r="I21" s="120" t="s">
        <v>45</v>
      </c>
      <c r="J21" s="312" t="s">
        <v>271</v>
      </c>
      <c r="K21" s="120" t="s">
        <v>47</v>
      </c>
      <c r="L21" s="120" t="s">
        <v>270</v>
      </c>
      <c r="M21" s="317" t="s">
        <v>415</v>
      </c>
      <c r="P21" s="374" t="s">
        <v>38</v>
      </c>
      <c r="Q21" s="375">
        <f t="shared" si="1"/>
        <v>1.4289323610931841</v>
      </c>
      <c r="R21" s="375">
        <f>R18*8</f>
        <v>9.0430695800160041</v>
      </c>
      <c r="S21" s="376">
        <v>0.6</v>
      </c>
      <c r="T21" s="375">
        <f>Q21+(R21*S21)</f>
        <v>6.8547741091027863</v>
      </c>
      <c r="U21" s="235" t="s">
        <v>244</v>
      </c>
      <c r="V21" s="377">
        <f>T21</f>
        <v>6.8547741091027863</v>
      </c>
    </row>
    <row r="22" spans="1:22" s="243" customFormat="1" ht="79.5" customHeight="1" thickBot="1" x14ac:dyDescent="0.3">
      <c r="A22" s="1293" t="s">
        <v>440</v>
      </c>
      <c r="B22" s="245" t="s">
        <v>622</v>
      </c>
      <c r="C22" s="259" t="str">
        <f>VLOOKUP($B22,Activities!$A$10:$P$152,3,FALSE)</f>
        <v>To Identify and Characterise the material in the heap leach including the extent of flushing and design of the cover</v>
      </c>
      <c r="D22" s="239" t="s">
        <v>49</v>
      </c>
      <c r="E22" s="240"/>
      <c r="F22" s="246" t="str">
        <f>VLOOKUP($B22,Activities!$A$10:$P$152,4,FALSE)</f>
        <v>Item</v>
      </c>
      <c r="G22" s="313" t="s">
        <v>838</v>
      </c>
      <c r="H22" s="140" t="s">
        <v>613</v>
      </c>
      <c r="I22" s="273">
        <f>VLOOKUP(H22,X2:Y6,2,FALSE)</f>
        <v>0</v>
      </c>
      <c r="J22" s="269"/>
      <c r="K22" s="390">
        <f t="shared" ref="K22" si="2">IF(D22="Y",IF(J22="",I22*E22,J22*E22),"")</f>
        <v>0</v>
      </c>
      <c r="L22" s="248" t="str">
        <f>IFERROR(IF(D22="Y",K22/$K$70,0%),"0.0%")</f>
        <v>0.0%</v>
      </c>
      <c r="M22" s="290" t="str">
        <f>VLOOKUP($B22,Activities!$A$10:$S$152,19,FALSE)</f>
        <v>This sum covers the characterisation of the heap, determining the extent of flushing required to neutralise the heap and design of the cover thickness for the facility. The activity includes professional assessment, engineering and laboratory work required to develop an appropriate management plan.</v>
      </c>
      <c r="P22" s="378"/>
      <c r="Q22" s="379"/>
      <c r="R22" s="379"/>
      <c r="S22" s="379"/>
      <c r="T22" s="379"/>
      <c r="U22" s="236" t="s">
        <v>264</v>
      </c>
      <c r="V22" s="380"/>
    </row>
    <row r="23" spans="1:22" s="243" customFormat="1" ht="84.75" thickBot="1" x14ac:dyDescent="0.3">
      <c r="A23" s="1294"/>
      <c r="B23" s="258" t="s">
        <v>241</v>
      </c>
      <c r="C23" s="259" t="str">
        <f>VLOOKUP($B23,Activities!$A$10:$P$152,3,FALSE)</f>
        <v>Characteristics of soil and groundwater contamination (Environmental site assessment)</v>
      </c>
      <c r="D23" s="239" t="s">
        <v>49</v>
      </c>
      <c r="E23" s="320"/>
      <c r="F23" s="246" t="str">
        <f>VLOOKUP($B23,Activities!$A$10:$P$152,4,FALSE)</f>
        <v>Ha</v>
      </c>
      <c r="G23" s="1269"/>
      <c r="H23" s="1270"/>
      <c r="I23" s="273">
        <f>VLOOKUP($B23,Activities!$A$10:$S$152,16,FALSE)</f>
        <v>32524.962920035628</v>
      </c>
      <c r="J23" s="269"/>
      <c r="K23" s="388">
        <f t="shared" ref="K23" si="3">IF(D23="Y",IF(J23="",I23*E23,J23*E23),0)</f>
        <v>0</v>
      </c>
      <c r="L23" s="248" t="str">
        <f t="shared" ref="L23" si="4">IFERROR(IF(D23="Y",K23/$K$55,0%),"0.0%")</f>
        <v>0.0%</v>
      </c>
      <c r="M23" s="290" t="str">
        <f>VLOOKUP($B23,Activities!$A$10:$S$152,19,FALSE)</f>
        <v>Assumes soil sampling at 10 locations and development of up to four groundwater wells and one groundwater monitoring event (GME) per hectare.  Chemical analysis of one soild sample per location and one groundwater sample per well for a standard suite of chemicals (eg heavy metals, selected organics) of potential interest.  Soil sites advance to a maximum of 1 metre below ground level and wells to a maximum depth of 12 metres below ground level.</v>
      </c>
      <c r="P23" s="524" t="str">
        <f>B28</f>
        <v>A1067</v>
      </c>
      <c r="Q23" s="1374" t="s">
        <v>513</v>
      </c>
      <c r="R23" s="1375"/>
      <c r="S23" s="1376"/>
    </row>
    <row r="24" spans="1:22" s="243" customFormat="1" ht="17.25" customHeight="1" thickBot="1" x14ac:dyDescent="0.3">
      <c r="A24" s="452" t="s">
        <v>53</v>
      </c>
      <c r="B24" s="345" t="str">
        <f>A22</f>
        <v>Preliminary Assessments</v>
      </c>
      <c r="C24" s="531"/>
      <c r="D24" s="252"/>
      <c r="E24" s="253"/>
      <c r="F24" s="252"/>
      <c r="G24" s="252"/>
      <c r="H24" s="252"/>
      <c r="I24" s="254"/>
      <c r="J24" s="255"/>
      <c r="K24" s="256">
        <f>SUM(K22:K23)</f>
        <v>0</v>
      </c>
      <c r="L24" s="252"/>
      <c r="M24" s="257"/>
      <c r="P24" s="519" t="s">
        <v>443</v>
      </c>
      <c r="Q24" s="520" t="s">
        <v>444</v>
      </c>
      <c r="R24" s="520" t="s">
        <v>140</v>
      </c>
      <c r="S24" s="521" t="s">
        <v>445</v>
      </c>
    </row>
    <row r="25" spans="1:22" s="243" customFormat="1" ht="75.75" customHeight="1" thickBot="1" x14ac:dyDescent="0.3">
      <c r="A25" s="1293" t="s">
        <v>442</v>
      </c>
      <c r="B25" s="245" t="s">
        <v>419</v>
      </c>
      <c r="C25" s="259" t="str">
        <f>VLOOKUP($B25,Activities!$A$10:$P$152,3,FALSE)</f>
        <v xml:space="preserve">Re-establishment and repairs to heap leaching circuit </v>
      </c>
      <c r="D25" s="239" t="s">
        <v>49</v>
      </c>
      <c r="E25" s="320"/>
      <c r="F25" s="246" t="str">
        <f>VLOOKUP($B25,Activities!$A$10:$P$152,4,FALSE)</f>
        <v>Ha</v>
      </c>
      <c r="G25" s="1269"/>
      <c r="H25" s="1270"/>
      <c r="I25" s="273">
        <f>VLOOKUP($B25,Activities!$A$10:$S$152,16,FALSE)</f>
        <v>2383.9609447769958</v>
      </c>
      <c r="J25" s="269"/>
      <c r="K25" s="388">
        <f t="shared" ref="K25:K27" si="5">IF(D25="Y",IF(J25="",I25*E25,J25*E25),0)</f>
        <v>0</v>
      </c>
      <c r="L25" s="248" t="str">
        <f t="shared" ref="L25:L27" si="6">IFERROR(IF(D25="Y",K25/$K$55,0%),"0.0%")</f>
        <v>0.0%</v>
      </c>
      <c r="M25" s="290" t="str">
        <f>VLOOKUP($B25,Activities!$A$10:$S$152,19,FALSE)</f>
        <v>This activity provides for the re-establishment of the pipework and pumping facilities to enable the flushing of a heap leach stockpile prior to reshaping and abandonment.  It assumes that much of the pipework is still present but provides for additional piping and work</v>
      </c>
      <c r="P25" s="381" t="s">
        <v>447</v>
      </c>
      <c r="Q25" s="382">
        <f>Activities!P76</f>
        <v>6256.6158018669557</v>
      </c>
      <c r="R25" s="371">
        <v>1</v>
      </c>
      <c r="S25" s="383">
        <f>R25*Q25</f>
        <v>6256.6158018669557</v>
      </c>
    </row>
    <row r="26" spans="1:22" s="243" customFormat="1" ht="55.5" customHeight="1" thickBot="1" x14ac:dyDescent="0.3">
      <c r="A26" s="1336"/>
      <c r="B26" s="245" t="s">
        <v>421</v>
      </c>
      <c r="C26" s="259" t="str">
        <f>VLOOKUP($B26,Activities!$A$10:$P$152,3,FALSE)</f>
        <v>Flushing of solution or water through heap leach stockpiles to remove contaminated materials.</v>
      </c>
      <c r="D26" s="239" t="s">
        <v>49</v>
      </c>
      <c r="E26" s="320"/>
      <c r="F26" s="246" t="str">
        <f>VLOOKUP($B26,Activities!$A$10:$P$152,4,FALSE)</f>
        <v>month</v>
      </c>
      <c r="G26" s="1269"/>
      <c r="H26" s="1270"/>
      <c r="I26" s="273">
        <f>VLOOKUP($B26,Activities!$A$10:$S$152,16,FALSE)</f>
        <v>41985.925928571429</v>
      </c>
      <c r="J26" s="269"/>
      <c r="K26" s="388">
        <f t="shared" si="5"/>
        <v>0</v>
      </c>
      <c r="L26" s="248" t="str">
        <f t="shared" si="6"/>
        <v>0.0%</v>
      </c>
      <c r="M26" s="290" t="str">
        <f>VLOOKUP($B26,Activities!$A$10:$S$152,19,FALSE)</f>
        <v>This activity provides for the flushing of water and/or solution through the heap leach stockpiles in order to flush any chemicals from the stockpile.  (Examples include cyanide, sulphuric acid, etc.)</v>
      </c>
      <c r="P26" s="381" t="s">
        <v>448</v>
      </c>
      <c r="Q26" s="382">
        <f>Q25</f>
        <v>6256.6158018669557</v>
      </c>
      <c r="R26" s="371">
        <v>3</v>
      </c>
      <c r="S26" s="383">
        <f>R26*Q26</f>
        <v>18769.847405600867</v>
      </c>
    </row>
    <row r="27" spans="1:22" s="243" customFormat="1" ht="48" thickBot="1" x14ac:dyDescent="0.3">
      <c r="A27" s="1336"/>
      <c r="B27" s="245" t="s">
        <v>424</v>
      </c>
      <c r="C27" s="259" t="str">
        <f>VLOOKUP($B27,Activities!$A$10:$P$152,3,FALSE)</f>
        <v>Provision of water treatment equipment to treat water from heap leach (or TSF) operations.</v>
      </c>
      <c r="D27" s="239" t="s">
        <v>49</v>
      </c>
      <c r="E27" s="320"/>
      <c r="F27" s="246" t="str">
        <f>VLOOKUP($B27,Activities!$A$10:$P$152,4,FALSE)</f>
        <v>Sum</v>
      </c>
      <c r="G27" s="1269"/>
      <c r="H27" s="1270"/>
      <c r="I27" s="273">
        <f>VLOOKUP($B27,Activities!$A$10:$S$152,16,FALSE)</f>
        <v>256948.06008385369</v>
      </c>
      <c r="J27" s="269"/>
      <c r="K27" s="388">
        <f t="shared" si="5"/>
        <v>0</v>
      </c>
      <c r="L27" s="248" t="str">
        <f t="shared" si="6"/>
        <v>0.0%</v>
      </c>
      <c r="M27" s="290" t="str">
        <f>VLOOKUP($B27,Activities!$A$10:$S$152,19,FALSE)</f>
        <v>This provides for the capital cost of providing for dosing equipment to treat the run-off from heap leach operaitons while they are being flushed and cleaned out.</v>
      </c>
      <c r="P27" s="381" t="s">
        <v>454</v>
      </c>
      <c r="Q27" s="382">
        <f>Q25</f>
        <v>6256.6158018669557</v>
      </c>
      <c r="R27" s="371">
        <v>7</v>
      </c>
      <c r="S27" s="383">
        <f>R27*Q27</f>
        <v>43796.310613068694</v>
      </c>
    </row>
    <row r="28" spans="1:22" s="243" customFormat="1" ht="60.75" thickBot="1" x14ac:dyDescent="0.3">
      <c r="A28" s="1294"/>
      <c r="B28" s="245" t="s">
        <v>423</v>
      </c>
      <c r="C28" s="259" t="str">
        <f>VLOOKUP($B28,Activities!$A$10:$P$152,3,FALSE)</f>
        <v xml:space="preserve">Treatment of water from Heap Leach stockpiles to neutralise water </v>
      </c>
      <c r="D28" s="239" t="s">
        <v>49</v>
      </c>
      <c r="E28" s="320"/>
      <c r="F28" s="246" t="str">
        <f>VLOOKUP($B28,Activities!$A$10:$P$152,4,FALSE)</f>
        <v>Months</v>
      </c>
      <c r="G28" s="356" t="s">
        <v>867</v>
      </c>
      <c r="H28" s="167" t="s">
        <v>453</v>
      </c>
      <c r="I28" s="272">
        <f>VLOOKUP(H28,P25:S29,4)</f>
        <v>0</v>
      </c>
      <c r="J28" s="269"/>
      <c r="K28" s="388">
        <f>IF(D28="Y",IF(J28="",I28*E28,J28*E28),0)</f>
        <v>0</v>
      </c>
      <c r="L28" s="248" t="str">
        <f>IFERROR(IF(D28="Y",K28/$K$58,0%),"0.0%")</f>
        <v>0.0%</v>
      </c>
      <c r="M28" s="290" t="str">
        <f>VLOOKUP($B28,Activities!$A$10:$S$152,19,FALSE)</f>
        <v>This activity provides an allowance for the treatment of water from the Heap leach stockpiles to neutralise the water.  (It is a compromise between dosing for pH adjustment, metals reduciton, cyanide destruction turbidity removal etc)</v>
      </c>
      <c r="P28" s="381" t="s">
        <v>455</v>
      </c>
      <c r="Q28" s="382">
        <f>Q25</f>
        <v>6256.6158018669557</v>
      </c>
      <c r="R28" s="371">
        <v>10</v>
      </c>
      <c r="S28" s="383">
        <f>R28*Q28</f>
        <v>62566.158018669557</v>
      </c>
    </row>
    <row r="29" spans="1:22" s="243" customFormat="1" ht="15.75" thickBot="1" x14ac:dyDescent="0.3">
      <c r="A29" s="452" t="s">
        <v>53</v>
      </c>
      <c r="B29" s="345" t="str">
        <f>A25</f>
        <v>Flushing and Neutralising of Heap Leach Stockpiles</v>
      </c>
      <c r="C29" s="531"/>
      <c r="D29" s="252"/>
      <c r="E29" s="253"/>
      <c r="F29" s="252"/>
      <c r="G29" s="252"/>
      <c r="H29" s="252"/>
      <c r="I29" s="254"/>
      <c r="J29" s="255"/>
      <c r="K29" s="256">
        <f>SUM(K25:K28)</f>
        <v>0</v>
      </c>
      <c r="L29" s="252"/>
      <c r="M29" s="257"/>
      <c r="P29" s="522" t="s">
        <v>453</v>
      </c>
      <c r="Q29" s="523"/>
      <c r="R29" s="379"/>
      <c r="S29" s="380"/>
    </row>
    <row r="30" spans="1:22" s="243" customFormat="1" ht="60.75" thickBot="1" x14ac:dyDescent="0.3">
      <c r="A30" s="1337" t="s">
        <v>449</v>
      </c>
      <c r="B30" s="245" t="s">
        <v>289</v>
      </c>
      <c r="C30" s="259" t="str">
        <f>VLOOKUP($B30,Activities!$A$10:$P$152,3,FALSE)</f>
        <v xml:space="preserve">Removal and demolition of Pump Station </v>
      </c>
      <c r="D30" s="239" t="s">
        <v>49</v>
      </c>
      <c r="E30" s="320"/>
      <c r="F30" s="246" t="str">
        <f>VLOOKUP($B30,Activities!$A$10:$P$152,4,FALSE)</f>
        <v>Item</v>
      </c>
      <c r="G30" s="1269"/>
      <c r="H30" s="1270"/>
      <c r="I30" s="273">
        <f>VLOOKUP($B30,Activities!$A$10:$S$152,16,FALSE)</f>
        <v>1580.3092850475025</v>
      </c>
      <c r="J30" s="269"/>
      <c r="K30" s="388">
        <f t="shared" ref="K30:K32" si="7">IF(D30="Y",IF(J30="",I30*E30,J30*E30),0)</f>
        <v>0</v>
      </c>
      <c r="L30" s="248" t="str">
        <f t="shared" ref="L30:L32" si="8">IFERROR(IF(D30="Y",K30/$K$55,0%),"0.0%")</f>
        <v>0.0%</v>
      </c>
      <c r="M30" s="290" t="str">
        <f>VLOOKUP($B30,Activities!$A$10:$S$152,19,FALSE)</f>
        <v>This activity involves the removal and demolition of an above ground pump station used in connection with a borefield and or wellhead injection system. ( It does not include the demolition of a substantial pumping structure or building which will need additional cost estimates)</v>
      </c>
    </row>
    <row r="31" spans="1:22" s="243" customFormat="1" ht="60.75" thickBot="1" x14ac:dyDescent="0.3">
      <c r="A31" s="1377"/>
      <c r="B31" s="245" t="s">
        <v>434</v>
      </c>
      <c r="C31" s="259" t="str">
        <f>VLOOKUP($B31,Activities!$A$10:$P$152,3,FALSE)</f>
        <v>Removal and Disposal of Major Trunk Pipelines</v>
      </c>
      <c r="D31" s="239" t="s">
        <v>49</v>
      </c>
      <c r="E31" s="320"/>
      <c r="F31" s="246" t="str">
        <f>VLOOKUP($B31,Activities!$A$10:$P$152,4,FALSE)</f>
        <v>m</v>
      </c>
      <c r="G31" s="1269"/>
      <c r="H31" s="1270"/>
      <c r="I31" s="273">
        <f>VLOOKUP($B31,Activities!$A$10:$S$152,16,FALSE)</f>
        <v>32.467068764228138</v>
      </c>
      <c r="J31" s="269"/>
      <c r="K31" s="388">
        <f t="shared" si="7"/>
        <v>0</v>
      </c>
      <c r="L31" s="248" t="str">
        <f t="shared" si="8"/>
        <v>0.0%</v>
      </c>
      <c r="M31" s="290" t="str">
        <f>VLOOKUP($B31,Activities!$A$10:$S$152,19,FALSE)</f>
        <v>The activity relates specifically to the removal and disposal of trunk pipelines assumed to be plastic in nature but greater than 200 mm in diameter.   The pipework should be cut up or shredded.   If the pipe is very large or steel a separate demolition price should be prepared.  It does not inlcude pipework within a process plant.</v>
      </c>
    </row>
    <row r="32" spans="1:22" s="243" customFormat="1" ht="72.75" thickBot="1" x14ac:dyDescent="0.3">
      <c r="A32" s="1377"/>
      <c r="B32" s="245" t="s">
        <v>233</v>
      </c>
      <c r="C32" s="259" t="str">
        <f>VLOOKUP($B32,Activities!$A$10:$P$152,3,FALSE)</f>
        <v>Demolish and Removal of Pipework - Plastic (Borefields, tailing facilities, etc)</v>
      </c>
      <c r="D32" s="239" t="s">
        <v>49</v>
      </c>
      <c r="E32" s="320"/>
      <c r="F32" s="246" t="str">
        <f>VLOOKUP($B32,Activities!$A$10:$P$152,4,FALSE)</f>
        <v>m</v>
      </c>
      <c r="G32" s="1269"/>
      <c r="H32" s="1270"/>
      <c r="I32" s="273">
        <f>VLOOKUP($B32,Activities!$A$10:$S$152,16,FALSE)</f>
        <v>13.119651535666517</v>
      </c>
      <c r="J32" s="269"/>
      <c r="K32" s="388">
        <f t="shared" si="7"/>
        <v>0</v>
      </c>
      <c r="L32" s="248" t="str">
        <f t="shared" si="8"/>
        <v>0.0%</v>
      </c>
      <c r="M32" s="290" t="str">
        <f>VLOOKUP($B32,Activities!$A$10:$S$152,19,FALSE)</f>
        <v>The activity consists of removing all pipework within the area and disposing of this pipework in an approved dump on the site.  The pipework should be cut up or shredded.  The activity assumes that the pipe is &lt;200mm and is plastic in nature.  If the pipe is very large or steel a separate demolition price should be prepared.  It does not inlcude pipework within a process plant.</v>
      </c>
    </row>
    <row r="33" spans="1:22" s="243" customFormat="1" ht="15.75" customHeight="1" thickBot="1" x14ac:dyDescent="0.3">
      <c r="A33" s="452" t="s">
        <v>53</v>
      </c>
      <c r="B33" s="345" t="str">
        <f>A30</f>
        <v>Demolition of Heap Leach Infrastructure</v>
      </c>
      <c r="C33" s="531"/>
      <c r="D33" s="252"/>
      <c r="E33" s="253"/>
      <c r="F33" s="252"/>
      <c r="G33" s="252"/>
      <c r="H33" s="252"/>
      <c r="I33" s="254"/>
      <c r="J33" s="255"/>
      <c r="K33" s="256">
        <f>SUM(K30:K32)</f>
        <v>0</v>
      </c>
      <c r="L33" s="252"/>
      <c r="M33" s="257"/>
    </row>
    <row r="34" spans="1:22" s="243" customFormat="1" ht="60.75" customHeight="1" thickBot="1" x14ac:dyDescent="0.3">
      <c r="A34" s="1333" t="s">
        <v>456</v>
      </c>
      <c r="B34" s="245" t="s">
        <v>13</v>
      </c>
      <c r="C34" s="259" t="str">
        <f>VLOOKUP($B34,Activities!$A$10:$P$152,3,FALSE)</f>
        <v>Major Bulk Pushing/Dozing to achieve Final Land Forms</v>
      </c>
      <c r="D34" s="239" t="s">
        <v>49</v>
      </c>
      <c r="E34" s="320"/>
      <c r="F34" s="246" t="str">
        <f>VLOOKUP($B34,Activities!$A$10:$P$152,4,FALSE)</f>
        <v>m3</v>
      </c>
      <c r="G34" s="1269"/>
      <c r="H34" s="1270"/>
      <c r="I34" s="273">
        <f>VLOOKUP($B34,Activities!$A$10:$S$152,16,FALSE)</f>
        <v>0.96390609627070267</v>
      </c>
      <c r="J34" s="269"/>
      <c r="K34" s="388">
        <f t="shared" ref="K34:K35" si="9">IF(D34="Y",IF(J34="",I34*E34,J34*E34),0)</f>
        <v>0</v>
      </c>
      <c r="L34" s="248" t="str">
        <f t="shared" ref="L34:L35" si="10">IFERROR(IF(D34="Y",K34/$K$55,0%),"0.0%")</f>
        <v>0.0%</v>
      </c>
      <c r="M34" s="290" t="str">
        <f>VLOOKUP($B34,Activities!$A$10:$S$152,19,FALSE)</f>
        <v>This unit cost covers the use of a dozer to push material within reasonable confines to achieve a Final Land Form.  It is often undertaken prior to covering a tailing storage facility</v>
      </c>
      <c r="P34" s="233"/>
      <c r="Q34" s="233"/>
      <c r="R34" s="233"/>
      <c r="S34" s="233"/>
      <c r="T34" s="233"/>
      <c r="U34" s="233"/>
      <c r="V34" s="233"/>
    </row>
    <row r="35" spans="1:22" s="243" customFormat="1" ht="102" customHeight="1" thickBot="1" x14ac:dyDescent="0.3">
      <c r="A35" s="1334"/>
      <c r="B35" s="245" t="s">
        <v>451</v>
      </c>
      <c r="C35" s="259" t="str">
        <f>VLOOKUP($B35,Activities!$A$10:$P$152,3,FALSE)</f>
        <v>Construction of Water Diversion Channels/Drains</v>
      </c>
      <c r="D35" s="239" t="s">
        <v>49</v>
      </c>
      <c r="E35" s="320"/>
      <c r="F35" s="246" t="str">
        <f>VLOOKUP($B35,Activities!$A$10:$P$152,4,FALSE)</f>
        <v>lin m</v>
      </c>
      <c r="G35" s="1269"/>
      <c r="H35" s="1270"/>
      <c r="I35" s="273">
        <f>VLOOKUP($B35,Activities!$A$10:$S$152,16,FALSE)</f>
        <v>99.880946449499689</v>
      </c>
      <c r="J35" s="269"/>
      <c r="K35" s="388">
        <f t="shared" si="9"/>
        <v>0</v>
      </c>
      <c r="L35" s="248" t="str">
        <f t="shared" si="10"/>
        <v>0.0%</v>
      </c>
      <c r="M35" s="290" t="str">
        <f>VLOOKUP($B35,Activities!$A$10:$S$152,19,FALSE)</f>
        <v xml:space="preserve">The activity covers the occasions when it is necessary to construct a diversion channel to either divert water away from an area or to channel water from one area to another.  The assumption is that the level of water flowing through the channel is limited rather than a creek flow or major outflow.  Some allowance has been made for the incorporation of minor rock or velocity limiting structures but not major spillways or energy dissipaters. </v>
      </c>
      <c r="P35" s="233"/>
      <c r="Q35" s="233"/>
      <c r="R35" s="233"/>
      <c r="S35" s="233"/>
      <c r="T35" s="233"/>
      <c r="U35" s="233"/>
      <c r="V35" s="233"/>
    </row>
    <row r="36" spans="1:22" ht="56.25" customHeight="1" thickBot="1" x14ac:dyDescent="0.3">
      <c r="A36" s="1334"/>
      <c r="B36" s="245" t="s">
        <v>16</v>
      </c>
      <c r="C36" s="259" t="str">
        <f>VLOOKUP($B36,Activities!$A$10:$P$152,3,FALSE)</f>
        <v>Load and haul of mined, processed, stockpiled materials or topsoil</v>
      </c>
      <c r="D36" s="239" t="s">
        <v>49</v>
      </c>
      <c r="E36" s="346"/>
      <c r="F36" s="246" t="str">
        <f>VLOOKUP($B36,Activities!$A$10:$P$152,4,FALSE)</f>
        <v>m3</v>
      </c>
      <c r="G36" s="313" t="s">
        <v>51</v>
      </c>
      <c r="H36" s="167" t="s">
        <v>264</v>
      </c>
      <c r="I36" s="272">
        <f>VLOOKUP(H36,U3:V7,2)</f>
        <v>0</v>
      </c>
      <c r="J36" s="269"/>
      <c r="K36" s="388">
        <f>IF(D36="Y",IF(J36="",I36*E36,J36*E36),0)</f>
        <v>0</v>
      </c>
      <c r="L36" s="248" t="str">
        <f>IFERROR(IF(D36="Y",K36/$K$58,0%),"0.0%")</f>
        <v>0.0%</v>
      </c>
      <c r="M36" s="290" t="str">
        <f>VLOOKUP($B36,Activities!$A$10:$S$152,19,FALSE)</f>
        <v>This activity involves loading into a truck of material previously mined, processed material or topsoil, and hauling a selected distance.</v>
      </c>
    </row>
    <row r="37" spans="1:22" ht="42.75" thickBot="1" x14ac:dyDescent="0.3">
      <c r="A37" s="1334"/>
      <c r="B37" s="245" t="s">
        <v>17</v>
      </c>
      <c r="C37" s="259" t="str">
        <f>VLOOKUP($B37,Activities!$A$10:$P$152,3,FALSE)</f>
        <v xml:space="preserve">Excavation of earthen materials from local borrow pits, plus haulage </v>
      </c>
      <c r="D37" s="239" t="s">
        <v>49</v>
      </c>
      <c r="E37" s="346"/>
      <c r="F37" s="246" t="str">
        <f>VLOOKUP($B37,Activities!$A$10:$P$152,4,FALSE)</f>
        <v>m3</v>
      </c>
      <c r="G37" s="313" t="s">
        <v>51</v>
      </c>
      <c r="H37" s="167" t="s">
        <v>264</v>
      </c>
      <c r="I37" s="272">
        <f>VLOOKUP(H37,U10:V14,2)</f>
        <v>0</v>
      </c>
      <c r="J37" s="269"/>
      <c r="K37" s="388">
        <f>IF(D37="Y",IF(J37="",I37*E37,J37*E37),0)</f>
        <v>0</v>
      </c>
      <c r="L37" s="248" t="str">
        <f>IFERROR(IF(D37="Y",K37/$K$58,0%),"0.0%")</f>
        <v>0.0%</v>
      </c>
      <c r="M37" s="290" t="str">
        <f>VLOOKUP($B37,Activities!$A$10:$S$152,19,FALSE)</f>
        <v>This activity involves the excavation of earthern material from a local borrow pit and the loading of that material into a truck.  Haulage cost based on distance hauled.</v>
      </c>
    </row>
    <row r="38" spans="1:22" ht="53.25" customHeight="1" thickBot="1" x14ac:dyDescent="0.3">
      <c r="A38" s="1334"/>
      <c r="B38" s="245" t="s">
        <v>18</v>
      </c>
      <c r="C38" s="259" t="str">
        <f>VLOOKUP($B38,Activities!$A$10:$P$152,3,FALSE)</f>
        <v>Spreading Materials on ground or an open area excluding compaction (&gt;1,000m3)</v>
      </c>
      <c r="D38" s="239" t="s">
        <v>49</v>
      </c>
      <c r="E38" s="320"/>
      <c r="F38" s="246" t="str">
        <f>VLOOKUP($B38,Activities!$A$10:$P$152,4,FALSE)</f>
        <v>m3</v>
      </c>
      <c r="G38" s="1269"/>
      <c r="H38" s="1270"/>
      <c r="I38" s="273">
        <f>VLOOKUP($B38,Activities!$A$10:$S$152,16,FALSE)</f>
        <v>1.0890037105820705</v>
      </c>
      <c r="J38" s="269"/>
      <c r="K38" s="388">
        <f t="shared" ref="K38" si="11">IF(D38="Y",IF(J38="",I38*E38,J38*E38),0)</f>
        <v>0</v>
      </c>
      <c r="L38" s="248" t="str">
        <f t="shared" ref="L38" si="12">IFERROR(IF(D38="Y",K38/$K$55,0%),"0.0%")</f>
        <v>0.0%</v>
      </c>
      <c r="M38" s="290" t="str">
        <f>VLOOKUP($B38,Activities!$A$10:$S$152,19,FALSE)</f>
        <v xml:space="preserve">This activity involves the spreading of material that has been transported and dumped at the work area. </v>
      </c>
    </row>
    <row r="39" spans="1:22" ht="15.75" thickBot="1" x14ac:dyDescent="0.3">
      <c r="A39" s="452" t="s">
        <v>53</v>
      </c>
      <c r="B39" s="345" t="str">
        <f>A34</f>
        <v>Primary Earthworks and Construction of the Cover for the Heap Leach Facility</v>
      </c>
      <c r="C39" s="531"/>
      <c r="D39" s="252"/>
      <c r="E39" s="253"/>
      <c r="F39" s="252"/>
      <c r="G39" s="252"/>
      <c r="H39" s="252"/>
      <c r="I39" s="254"/>
      <c r="J39" s="255"/>
      <c r="K39" s="256">
        <f>SUM(K34:K38)</f>
        <v>0</v>
      </c>
      <c r="L39" s="252"/>
      <c r="M39" s="257"/>
    </row>
    <row r="40" spans="1:22" ht="48" customHeight="1" thickBot="1" x14ac:dyDescent="0.3">
      <c r="A40" s="1333" t="s">
        <v>865</v>
      </c>
      <c r="B40" s="245" t="s">
        <v>70</v>
      </c>
      <c r="C40" s="259" t="str">
        <f>VLOOKUP($B40,Activities!$A$10:$P$152,3,FALSE)</f>
        <v>Sourcing, Carting and Spreading of Topsoil over an Area</v>
      </c>
      <c r="D40" s="239" t="s">
        <v>49</v>
      </c>
      <c r="E40" s="242"/>
      <c r="F40" s="246" t="str">
        <f>VLOOKUP($B40,Activities!$A$10:$P$152,4,FALSE)</f>
        <v>m3</v>
      </c>
      <c r="G40" s="314"/>
      <c r="H40" s="140" t="s">
        <v>264</v>
      </c>
      <c r="I40" s="272">
        <f>VLOOKUP(H40,U18:V22,2)</f>
        <v>0</v>
      </c>
      <c r="J40" s="269"/>
      <c r="K40" s="388">
        <f t="shared" ref="K40:K51" si="13">IF(D40="Y",IF(J40="",I40*E40,J40*E40),0)</f>
        <v>0</v>
      </c>
      <c r="L40" s="248" t="str">
        <f>IFERROR(IF(D40="Y",K40/$K$58,0%),"0.0%")</f>
        <v>0.0%</v>
      </c>
      <c r="M40" s="290" t="str">
        <f>VLOOKUP($B40,Activities!$A$10:$S$152,19,FALSE)</f>
        <v>This activity covers the sourcing of topsoil or suitable growth medium, transporting from the source to the required area and then spreading it over that area.</v>
      </c>
    </row>
    <row r="41" spans="1:22" ht="42.75" customHeight="1" thickBot="1" x14ac:dyDescent="0.3">
      <c r="A41" s="1334"/>
      <c r="B41" s="245" t="s">
        <v>21</v>
      </c>
      <c r="C41" s="259" t="str">
        <f>VLOOKUP($B41,Activities!$A$10:$P$152,3,FALSE)</f>
        <v>Scarification to promote vegetation growth</v>
      </c>
      <c r="D41" s="239" t="s">
        <v>49</v>
      </c>
      <c r="E41" s="607"/>
      <c r="F41" s="246" t="str">
        <f>VLOOKUP($B41,Activities!$A$10:$P$152,4,FALSE)</f>
        <v>Ha</v>
      </c>
      <c r="G41" s="1269"/>
      <c r="H41" s="1270"/>
      <c r="I41" s="272">
        <f>Activities!P18</f>
        <v>323.54530924221694</v>
      </c>
      <c r="J41" s="269"/>
      <c r="K41" s="388">
        <f t="shared" si="13"/>
        <v>0</v>
      </c>
      <c r="L41" s="248" t="str">
        <f>IFERROR(IF(D41="Y",K41/$K$58,0%),"0.0%")</f>
        <v>0.0%</v>
      </c>
      <c r="M41" s="290" t="str">
        <f>VLOOKUP($B41,Activities!$A$10:$S$152,19,FALSE)</f>
        <v xml:space="preserve">This activity is undertaken in preparation for the seeding of a particular area.  </v>
      </c>
    </row>
    <row r="42" spans="1:22" ht="42.75" customHeight="1" thickBot="1" x14ac:dyDescent="0.3">
      <c r="A42" s="1334"/>
      <c r="B42" s="245" t="s">
        <v>626</v>
      </c>
      <c r="C42" s="259" t="str">
        <f>VLOOKUP($B42,Activities!$A$10:$P$152,3,FALSE)</f>
        <v>Purchase and single application of ground ameliorants (e.g. gypsum)</v>
      </c>
      <c r="D42" s="239" t="s">
        <v>49</v>
      </c>
      <c r="E42" s="320"/>
      <c r="F42" s="246" t="str">
        <f>VLOOKUP($B42,Activities!$A$10:$P$152,4,FALSE)</f>
        <v>Ha</v>
      </c>
      <c r="G42" s="1269"/>
      <c r="H42" s="1270"/>
      <c r="I42" s="273">
        <f>VLOOKUP($B42,Activities!$A$10:$S$152,16,FALSE)</f>
        <v>877.38983538153695</v>
      </c>
      <c r="J42" s="269"/>
      <c r="K42" s="388">
        <f t="shared" si="13"/>
        <v>0</v>
      </c>
      <c r="L42" s="248" t="str">
        <f t="shared" ref="L42:L50" si="14">IFERROR(IF(D42="Y",K42/$K$55,0%),"0.0%")</f>
        <v>0.0%</v>
      </c>
      <c r="M42" s="290" t="str">
        <f>VLOOKUP($B42,Activities!$A$10:$S$152,19,FALSE)</f>
        <v>This Activity includes the purchase and single application of ground ameliorants (e.g. gypsum).</v>
      </c>
    </row>
    <row r="43" spans="1:22" ht="42.75" customHeight="1" thickBot="1" x14ac:dyDescent="0.3">
      <c r="A43" s="1334"/>
      <c r="B43" s="245" t="s">
        <v>627</v>
      </c>
      <c r="C43" s="259" t="str">
        <f>VLOOKUP($B43,Activities!$A$10:$P$152,3,FALSE)</f>
        <v>The purchase only of non-native pasture grasses</v>
      </c>
      <c r="D43" s="239" t="s">
        <v>49</v>
      </c>
      <c r="E43" s="320"/>
      <c r="F43" s="246" t="str">
        <f>VLOOKUP($B43,Activities!$A$10:$P$152,4,FALSE)</f>
        <v>Ha</v>
      </c>
      <c r="G43" s="1269"/>
      <c r="H43" s="1270"/>
      <c r="I43" s="273">
        <f>VLOOKUP($B43,Activities!$A$10:$S$152,16,FALSE)</f>
        <v>1774.5180283018869</v>
      </c>
      <c r="J43" s="269"/>
      <c r="K43" s="388">
        <f t="shared" si="13"/>
        <v>0</v>
      </c>
      <c r="L43" s="248" t="str">
        <f t="shared" si="14"/>
        <v>0.0%</v>
      </c>
      <c r="M43" s="290" t="str">
        <f>VLOOKUP($B43,Activities!$A$10:$S$152,19,FALSE)</f>
        <v>This activity covers the purchase of non-native pasture grasses</v>
      </c>
    </row>
    <row r="44" spans="1:22" ht="42.75" customHeight="1" thickBot="1" x14ac:dyDescent="0.3">
      <c r="A44" s="1334"/>
      <c r="B44" s="245" t="s">
        <v>628</v>
      </c>
      <c r="C44" s="259" t="str">
        <f>VLOOKUP($B44,Activities!$A$10:$P$152,3,FALSE)</f>
        <v>The purchase only of general native seed mix</v>
      </c>
      <c r="D44" s="239" t="s">
        <v>49</v>
      </c>
      <c r="E44" s="320"/>
      <c r="F44" s="246" t="str">
        <f>VLOOKUP($B44,Activities!$A$10:$P$152,4,FALSE)</f>
        <v>Ha</v>
      </c>
      <c r="G44" s="1269"/>
      <c r="H44" s="1270"/>
      <c r="I44" s="273">
        <f>VLOOKUP($B44,Activities!$A$10:$S$152,16,FALSE)</f>
        <v>3439.8717452830197</v>
      </c>
      <c r="J44" s="269"/>
      <c r="K44" s="388">
        <f t="shared" si="13"/>
        <v>0</v>
      </c>
      <c r="L44" s="248" t="str">
        <f t="shared" si="14"/>
        <v>0.0%</v>
      </c>
      <c r="M44" s="290" t="str">
        <f>VLOOKUP($B44,Activities!$A$10:$S$152,19,FALSE)</f>
        <v>This activity covers the purchase of general native seed mix</v>
      </c>
    </row>
    <row r="45" spans="1:22" ht="42.75" customHeight="1" thickBot="1" x14ac:dyDescent="0.3">
      <c r="A45" s="1334"/>
      <c r="B45" s="245" t="s">
        <v>629</v>
      </c>
      <c r="C45" s="259" t="str">
        <f>VLOOKUP($B45,Activities!$A$10:$P$152,3,FALSE)</f>
        <v>The purchase only of local provenance native seed mix</v>
      </c>
      <c r="D45" s="239" t="s">
        <v>49</v>
      </c>
      <c r="E45" s="320"/>
      <c r="F45" s="246" t="str">
        <f>VLOOKUP($B45,Activities!$A$10:$P$152,4,FALSE)</f>
        <v>Ha</v>
      </c>
      <c r="G45" s="1269"/>
      <c r="H45" s="1270"/>
      <c r="I45" s="273">
        <f>VLOOKUP($B45,Activities!$A$10:$S$152,16,FALSE)</f>
        <v>10525.680933962265</v>
      </c>
      <c r="J45" s="269"/>
      <c r="K45" s="388">
        <f t="shared" si="13"/>
        <v>0</v>
      </c>
      <c r="L45" s="248" t="str">
        <f t="shared" si="14"/>
        <v>0.0%</v>
      </c>
      <c r="M45" s="290" t="str">
        <f>VLOOKUP($B45,Activities!$A$10:$S$152,19,FALSE)</f>
        <v>This activity covers the purchase of local provenance native seed mix</v>
      </c>
    </row>
    <row r="46" spans="1:22" ht="42.75" customHeight="1" thickBot="1" x14ac:dyDescent="0.3">
      <c r="A46" s="1334"/>
      <c r="B46" s="245" t="s">
        <v>630</v>
      </c>
      <c r="C46" s="259" t="str">
        <f>VLOOKUP($B46,Activities!$A$10:$P$152,3,FALSE)</f>
        <v>The purchase only of fertiliser for broadcast application</v>
      </c>
      <c r="D46" s="239" t="s">
        <v>49</v>
      </c>
      <c r="E46" s="320"/>
      <c r="F46" s="246" t="str">
        <f>VLOOKUP($B46,Activities!$A$10:$P$152,4,FALSE)</f>
        <v>Ha</v>
      </c>
      <c r="G46" s="1269"/>
      <c r="H46" s="1270"/>
      <c r="I46" s="273">
        <f>VLOOKUP($B46,Activities!$A$10:$S$152,16,FALSE)</f>
        <v>613.30500000000006</v>
      </c>
      <c r="J46" s="269"/>
      <c r="K46" s="388">
        <f t="shared" si="13"/>
        <v>0</v>
      </c>
      <c r="L46" s="248" t="str">
        <f t="shared" si="14"/>
        <v>0.0%</v>
      </c>
      <c r="M46" s="290" t="str">
        <f>VLOOKUP($B46,Activities!$A$10:$S$152,19,FALSE)</f>
        <v>This activity covers the purchase of local fertiliser for broadcast application.  It does not inlcude the application.</v>
      </c>
    </row>
    <row r="47" spans="1:22" ht="42.75" customHeight="1" thickBot="1" x14ac:dyDescent="0.3">
      <c r="A47" s="1334"/>
      <c r="B47" s="245" t="s">
        <v>631</v>
      </c>
      <c r="C47" s="259" t="str">
        <f>VLOOKUP($B47,Activities!$A$10:$P$152,3,FALSE)</f>
        <v>The purchase of native tubestock (including slow release fertiliser)</v>
      </c>
      <c r="D47" s="239" t="s">
        <v>49</v>
      </c>
      <c r="E47" s="320"/>
      <c r="F47" s="246" t="str">
        <f>VLOOKUP($B47,Activities!$A$10:$P$152,4,FALSE)</f>
        <v>Ha</v>
      </c>
      <c r="G47" s="1269"/>
      <c r="H47" s="1270"/>
      <c r="I47" s="273">
        <f>VLOOKUP($B47,Activities!$A$10:$S$152,16,FALSE)</f>
        <v>19729.952830188682</v>
      </c>
      <c r="J47" s="269"/>
      <c r="K47" s="388">
        <f t="shared" si="13"/>
        <v>0</v>
      </c>
      <c r="L47" s="248" t="str">
        <f t="shared" si="14"/>
        <v>0.0%</v>
      </c>
      <c r="M47" s="290" t="str">
        <f>VLOOKUP($B47,Activities!$A$10:$S$152,19,FALSE)</f>
        <v>The Activity includes the purchase of native tubestock (including slow release fertiliser).  It does not include planting.</v>
      </c>
    </row>
    <row r="48" spans="1:22" ht="42.75" customHeight="1" thickBot="1" x14ac:dyDescent="0.3">
      <c r="A48" s="1334"/>
      <c r="B48" s="245" t="s">
        <v>632</v>
      </c>
      <c r="C48" s="259" t="str">
        <f>VLOOKUP($B48,Activities!$A$10:$P$152,3,FALSE)</f>
        <v>Direct seeding along rip line or mechanical broadcast seeding</v>
      </c>
      <c r="D48" s="239" t="s">
        <v>49</v>
      </c>
      <c r="E48" s="320"/>
      <c r="F48" s="246" t="str">
        <f>VLOOKUP($B48,Activities!$A$10:$P$152,4,FALSE)</f>
        <v>Ha</v>
      </c>
      <c r="G48" s="1269"/>
      <c r="H48" s="1270"/>
      <c r="I48" s="273">
        <f>VLOOKUP($B48,Activities!$A$10:$S$152,16,FALSE)</f>
        <v>2100.7838269402318</v>
      </c>
      <c r="J48" s="269"/>
      <c r="K48" s="388">
        <f t="shared" si="13"/>
        <v>0</v>
      </c>
      <c r="L48" s="248" t="str">
        <f t="shared" si="14"/>
        <v>0.0%</v>
      </c>
      <c r="M48" s="290" t="str">
        <f>VLOOKUP($B48,Activities!$A$10:$S$152,19,FALSE)</f>
        <v>Sowing of separately purchased seed and or fertiliser for broadcast application that involves scattering seed, by hand or mechanically, over a relatively large area.</v>
      </c>
    </row>
    <row r="49" spans="1:13" ht="48.75" thickBot="1" x14ac:dyDescent="0.3">
      <c r="A49" s="1334"/>
      <c r="B49" s="245" t="s">
        <v>633</v>
      </c>
      <c r="C49" s="259" t="str">
        <f>VLOOKUP($B49,Activities!$A$10:$P$152,3,FALSE)</f>
        <v>Hydromulching (does not include seed or fertiliser)</v>
      </c>
      <c r="D49" s="239" t="s">
        <v>49</v>
      </c>
      <c r="E49" s="240"/>
      <c r="F49" s="246" t="str">
        <f>VLOOKUP($B49,Activities!$A$10:$P$152,4,FALSE)</f>
        <v>Ha</v>
      </c>
      <c r="G49" s="1269"/>
      <c r="H49" s="1270"/>
      <c r="I49" s="273">
        <f>VLOOKUP($B49,Activities!$A$10:$S$152,16,FALSE)</f>
        <v>1583.2664818030244</v>
      </c>
      <c r="J49" s="269"/>
      <c r="K49" s="388">
        <f t="shared" si="13"/>
        <v>0</v>
      </c>
      <c r="L49" s="248" t="str">
        <f t="shared" si="14"/>
        <v>0.0%</v>
      </c>
      <c r="M49" s="290" t="str">
        <f>VLOOKUP($B49,Activities!$A$10:$S$152,19,FALSE)</f>
        <v>Hydromulching planting process that uses a slurry of seed and mulch. It is often used as an erosion control technique as an alternative to the traditional process of broadcasting or sowing dry seed.</v>
      </c>
    </row>
    <row r="50" spans="1:13" ht="32.25" thickBot="1" x14ac:dyDescent="0.3">
      <c r="A50" s="1334"/>
      <c r="B50" s="245" t="s">
        <v>717</v>
      </c>
      <c r="C50" s="259" t="str">
        <f>VLOOKUP($B50,Activities!$A$10:$P$152,3,FALSE)</f>
        <v>Planting of tubestock &lt;15cm (assumes 1,000 plants per hectare)</v>
      </c>
      <c r="D50" s="239" t="s">
        <v>49</v>
      </c>
      <c r="E50" s="240"/>
      <c r="F50" s="246" t="str">
        <f>VLOOKUP($B50,Activities!$A$10:$P$152,4,FALSE)</f>
        <v>Ha</v>
      </c>
      <c r="G50" s="1269"/>
      <c r="H50" s="1270"/>
      <c r="I50" s="273">
        <f>VLOOKUP($B50,Activities!$A$10:$S$152,16,FALSE)</f>
        <v>1714.118869047619</v>
      </c>
      <c r="J50" s="269"/>
      <c r="K50" s="388">
        <f t="shared" si="13"/>
        <v>0</v>
      </c>
      <c r="L50" s="248" t="str">
        <f t="shared" si="14"/>
        <v>0.0%</v>
      </c>
      <c r="M50" s="290" t="str">
        <f>VLOOKUP($B50,Activities!$A$10:$S$152,19,FALSE)</f>
        <v>This Activity covers the hand planting of tubestock plants across a broad area.</v>
      </c>
    </row>
    <row r="51" spans="1:13" ht="65.25" customHeight="1" thickBot="1" x14ac:dyDescent="0.3">
      <c r="A51" s="1335"/>
      <c r="B51" s="245" t="s">
        <v>25</v>
      </c>
      <c r="C51" s="259" t="str">
        <f>VLOOKUP($B51,Activities!$A$10:$P$152,3,FALSE)</f>
        <v xml:space="preserve">Construction of a stock proof fence including appropriate gates </v>
      </c>
      <c r="D51" s="239" t="s">
        <v>49</v>
      </c>
      <c r="E51" s="241"/>
      <c r="F51" s="246" t="str">
        <f>VLOOKUP($B51,Activities!$A$10:$P$152,4,FALSE)</f>
        <v>km</v>
      </c>
      <c r="G51" s="1269"/>
      <c r="H51" s="1270"/>
      <c r="I51" s="273">
        <f>Activities!P21</f>
        <v>13302.992584007126</v>
      </c>
      <c r="J51" s="269"/>
      <c r="K51" s="388">
        <f t="shared" si="13"/>
        <v>0</v>
      </c>
      <c r="L51" s="248" t="str">
        <f>IFERROR(IF(D51="Y",K51/$K$58,0%),"0.0%")</f>
        <v>0.0%</v>
      </c>
      <c r="M51" s="290" t="str">
        <f>VLOOKUP($B51,Activities!$A$10:$S$152,19,FALSE)</f>
        <v>This activity involves the construction of a stock proof fence to protect revegetation against stock and to provide an obstacle to persons to prevent inadvertant access.  It is not designed to prevent a person climbing over it.  It includes an allowance for gates.</v>
      </c>
    </row>
    <row r="52" spans="1:13" ht="15.75" thickBot="1" x14ac:dyDescent="0.3">
      <c r="A52" s="452" t="s">
        <v>53</v>
      </c>
      <c r="B52" s="345" t="str">
        <f>A40</f>
        <v>Topsoil Preparation and Revegetation of Heap Leach Facility</v>
      </c>
      <c r="C52" s="531"/>
      <c r="D52" s="252"/>
      <c r="E52" s="253"/>
      <c r="F52" s="252"/>
      <c r="G52" s="252"/>
      <c r="H52" s="252"/>
      <c r="I52" s="254"/>
      <c r="J52" s="255"/>
      <c r="K52" s="256">
        <f>SUM(K40:K51)</f>
        <v>0</v>
      </c>
      <c r="L52" s="252"/>
      <c r="M52" s="257"/>
    </row>
    <row r="53" spans="1:13" ht="52.5" customHeight="1" thickBot="1" x14ac:dyDescent="0.3">
      <c r="A53" s="1333" t="s">
        <v>866</v>
      </c>
      <c r="B53" s="270"/>
      <c r="C53" s="218" t="s">
        <v>55</v>
      </c>
      <c r="D53" s="239" t="s">
        <v>49</v>
      </c>
      <c r="E53" s="346"/>
      <c r="F53" s="296"/>
      <c r="G53" s="1269"/>
      <c r="H53" s="1270"/>
      <c r="I53" s="355" t="s">
        <v>475</v>
      </c>
      <c r="J53" s="269"/>
      <c r="K53" s="388">
        <f>IF(D53="Y",J53*E53,"")</f>
        <v>0</v>
      </c>
      <c r="L53" s="248" t="str">
        <f>IFERROR(IF(D53="Y",K53/$K$58,0%),"0.0%")</f>
        <v>0.0%</v>
      </c>
      <c r="M53" s="139" t="s">
        <v>56</v>
      </c>
    </row>
    <row r="54" spans="1:13" ht="52.5" customHeight="1" thickBot="1" x14ac:dyDescent="0.3">
      <c r="A54" s="1334"/>
      <c r="B54" s="270"/>
      <c r="C54" s="218" t="s">
        <v>55</v>
      </c>
      <c r="D54" s="239" t="s">
        <v>49</v>
      </c>
      <c r="E54" s="346"/>
      <c r="F54" s="296"/>
      <c r="G54" s="1269"/>
      <c r="H54" s="1270"/>
      <c r="I54" s="355" t="s">
        <v>475</v>
      </c>
      <c r="J54" s="269"/>
      <c r="K54" s="388">
        <f>IF(D54="Y",J54*E54,"")</f>
        <v>0</v>
      </c>
      <c r="L54" s="248" t="str">
        <f>IFERROR(IF(D54="Y",K54/$K$58,0%),"0.0%")</f>
        <v>0.0%</v>
      </c>
      <c r="M54" s="139" t="s">
        <v>56</v>
      </c>
    </row>
    <row r="55" spans="1:13" ht="52.5" customHeight="1" thickBot="1" x14ac:dyDescent="0.3">
      <c r="A55" s="1335"/>
      <c r="B55" s="270"/>
      <c r="C55" s="218" t="s">
        <v>55</v>
      </c>
      <c r="D55" s="239" t="s">
        <v>49</v>
      </c>
      <c r="E55" s="346"/>
      <c r="F55" s="296"/>
      <c r="G55" s="1269"/>
      <c r="H55" s="1270"/>
      <c r="I55" s="355" t="s">
        <v>475</v>
      </c>
      <c r="J55" s="269"/>
      <c r="K55" s="388">
        <f>IF(D55="Y",J55*E55,"")</f>
        <v>0</v>
      </c>
      <c r="L55" s="248" t="str">
        <f>IFERROR(IF(D55="Y",K55/$K$58,0%),"0.0%")</f>
        <v>0.0%</v>
      </c>
      <c r="M55" s="139" t="s">
        <v>56</v>
      </c>
    </row>
    <row r="56" spans="1:13" ht="15.75" thickBot="1" x14ac:dyDescent="0.3">
      <c r="A56" s="452" t="s">
        <v>53</v>
      </c>
      <c r="B56" s="345" t="str">
        <f>A53</f>
        <v>Other Activity in Heap Leach Facility Specific to this Operation</v>
      </c>
      <c r="C56" s="531"/>
      <c r="D56" s="252"/>
      <c r="E56" s="253"/>
      <c r="F56" s="252"/>
      <c r="G56" s="252"/>
      <c r="H56" s="252"/>
      <c r="I56" s="254"/>
      <c r="J56" s="255"/>
      <c r="K56" s="256">
        <f>SUM(K53:K55)</f>
        <v>0</v>
      </c>
      <c r="L56" s="252"/>
      <c r="M56" s="257"/>
    </row>
    <row r="57" spans="1:13" x14ac:dyDescent="0.25">
      <c r="A57" s="260"/>
      <c r="B57" s="260"/>
      <c r="C57" s="261"/>
      <c r="D57" s="262"/>
      <c r="E57" s="263"/>
      <c r="F57" s="262"/>
      <c r="G57" s="262"/>
      <c r="H57" s="262"/>
      <c r="I57" s="264"/>
      <c r="J57" s="265"/>
      <c r="K57" s="266"/>
      <c r="L57" s="262"/>
      <c r="M57" s="261"/>
    </row>
    <row r="58" spans="1:13" ht="21" x14ac:dyDescent="0.25">
      <c r="A58" s="260"/>
      <c r="B58" s="260"/>
      <c r="C58" s="261"/>
      <c r="D58" s="262"/>
      <c r="E58" s="263"/>
      <c r="F58" s="262"/>
      <c r="G58" s="262"/>
      <c r="H58" s="262"/>
      <c r="J58" s="267" t="s">
        <v>933</v>
      </c>
      <c r="K58" s="268">
        <f>K56+K52+K39+K33+K29+K24</f>
        <v>0</v>
      </c>
      <c r="L58" s="262"/>
      <c r="M58" s="261"/>
    </row>
    <row r="59" spans="1:13" x14ac:dyDescent="0.25">
      <c r="A59" s="260"/>
      <c r="B59" s="260"/>
      <c r="C59" s="261"/>
      <c r="D59" s="262"/>
      <c r="E59" s="263"/>
      <c r="F59" s="262"/>
      <c r="G59" s="262"/>
      <c r="H59" s="262"/>
      <c r="I59" s="264"/>
      <c r="J59" s="265"/>
      <c r="K59" s="266"/>
      <c r="L59" s="262"/>
      <c r="M59" s="261"/>
    </row>
    <row r="60" spans="1:13" x14ac:dyDescent="0.25">
      <c r="A60" s="260"/>
      <c r="B60" s="260"/>
      <c r="C60" s="261"/>
      <c r="D60" s="262"/>
      <c r="E60" s="263"/>
      <c r="F60" s="262"/>
      <c r="G60" s="262"/>
      <c r="H60" s="262"/>
      <c r="I60" s="264"/>
      <c r="J60" s="265"/>
      <c r="K60" s="266"/>
      <c r="L60" s="262"/>
      <c r="M60" s="261"/>
    </row>
    <row r="61" spans="1:13" x14ac:dyDescent="0.25">
      <c r="A61" s="260"/>
      <c r="B61" s="260"/>
      <c r="C61" s="261"/>
      <c r="D61" s="262"/>
      <c r="E61" s="263"/>
      <c r="F61" s="262"/>
      <c r="G61" s="262"/>
      <c r="H61" s="262"/>
      <c r="I61" s="264"/>
      <c r="J61" s="265"/>
      <c r="K61" s="266"/>
      <c r="L61" s="262"/>
      <c r="M61" s="261"/>
    </row>
    <row r="62" spans="1:13" x14ac:dyDescent="0.25">
      <c r="A62" s="260"/>
      <c r="B62" s="260"/>
      <c r="C62" s="261"/>
      <c r="D62" s="262"/>
      <c r="E62" s="263"/>
      <c r="F62" s="262"/>
      <c r="G62" s="262"/>
      <c r="H62" s="262"/>
      <c r="I62" s="264"/>
      <c r="J62" s="265"/>
      <c r="K62" s="266"/>
      <c r="L62" s="262"/>
      <c r="M62" s="261"/>
    </row>
    <row r="63" spans="1:13" ht="15.75" x14ac:dyDescent="0.25">
      <c r="A63" s="260"/>
      <c r="B63" s="260"/>
      <c r="C63" s="261"/>
      <c r="D63" s="262"/>
      <c r="E63" s="303"/>
      <c r="F63" s="262"/>
      <c r="G63" s="262"/>
      <c r="H63" s="262"/>
      <c r="I63" s="264"/>
      <c r="J63" s="265"/>
      <c r="K63" s="266"/>
      <c r="L63" s="262"/>
      <c r="M63" s="261"/>
    </row>
    <row r="64" spans="1:13" x14ac:dyDescent="0.25">
      <c r="A64" s="260"/>
      <c r="B64" s="260"/>
      <c r="C64" s="261"/>
      <c r="D64" s="262"/>
      <c r="E64" s="263"/>
      <c r="F64" s="262"/>
      <c r="G64" s="262"/>
      <c r="H64" s="262"/>
      <c r="I64" s="264"/>
      <c r="J64" s="265"/>
      <c r="K64" s="266"/>
      <c r="L64" s="262"/>
      <c r="M64" s="261"/>
    </row>
    <row r="65" spans="1:13" x14ac:dyDescent="0.25">
      <c r="A65" s="260"/>
      <c r="B65" s="260"/>
      <c r="C65" s="261"/>
      <c r="D65" s="262"/>
      <c r="E65" s="263"/>
      <c r="F65" s="262"/>
      <c r="G65" s="262"/>
      <c r="H65" s="262"/>
      <c r="I65" s="264"/>
      <c r="J65" s="265"/>
      <c r="K65" s="266"/>
      <c r="L65" s="262"/>
      <c r="M65" s="261"/>
    </row>
    <row r="66" spans="1:13" x14ac:dyDescent="0.25">
      <c r="A66" s="260"/>
      <c r="B66" s="260"/>
      <c r="C66" s="261"/>
      <c r="D66" s="262"/>
      <c r="E66" s="263"/>
      <c r="F66" s="262"/>
      <c r="G66" s="262"/>
      <c r="H66" s="262"/>
      <c r="I66" s="264"/>
      <c r="J66" s="265"/>
      <c r="K66" s="266"/>
      <c r="L66" s="262"/>
      <c r="M66" s="261"/>
    </row>
    <row r="67" spans="1:13" x14ac:dyDescent="0.25">
      <c r="A67" s="260"/>
      <c r="B67" s="260"/>
      <c r="C67" s="261"/>
      <c r="D67" s="262"/>
      <c r="E67" s="263"/>
      <c r="F67" s="262"/>
      <c r="G67" s="262"/>
      <c r="H67" s="262"/>
      <c r="I67" s="264"/>
      <c r="J67" s="265"/>
      <c r="K67" s="266"/>
      <c r="L67" s="262"/>
      <c r="M67" s="261"/>
    </row>
    <row r="68" spans="1:13" x14ac:dyDescent="0.25">
      <c r="A68" s="260"/>
      <c r="B68" s="260"/>
      <c r="C68" s="261"/>
      <c r="D68" s="262"/>
      <c r="E68" s="263"/>
      <c r="F68" s="262"/>
      <c r="G68" s="262"/>
      <c r="H68" s="262"/>
      <c r="I68" s="264"/>
      <c r="J68" s="265"/>
      <c r="K68" s="266"/>
      <c r="L68" s="262"/>
      <c r="M68" s="261"/>
    </row>
    <row r="69" spans="1:13" x14ac:dyDescent="0.25">
      <c r="A69" s="260"/>
      <c r="B69" s="260"/>
      <c r="C69" s="261"/>
      <c r="D69" s="262"/>
      <c r="E69" s="263"/>
      <c r="F69" s="262"/>
      <c r="G69" s="262"/>
      <c r="H69" s="262"/>
      <c r="I69" s="264"/>
      <c r="J69" s="265"/>
      <c r="K69" s="266"/>
      <c r="L69" s="262"/>
      <c r="M69" s="261"/>
    </row>
    <row r="70" spans="1:13" x14ac:dyDescent="0.25">
      <c r="A70" s="260"/>
      <c r="B70" s="260"/>
      <c r="C70" s="261"/>
      <c r="D70" s="262"/>
      <c r="E70" s="262"/>
      <c r="F70" s="262"/>
      <c r="G70" s="262"/>
      <c r="H70" s="262"/>
      <c r="I70" s="264"/>
      <c r="J70" s="265"/>
      <c r="K70" s="266"/>
      <c r="L70" s="262"/>
      <c r="M70" s="261"/>
    </row>
    <row r="71" spans="1:13" x14ac:dyDescent="0.25">
      <c r="A71" s="260"/>
      <c r="B71" s="260"/>
      <c r="C71" s="261"/>
      <c r="D71" s="262"/>
      <c r="E71" s="262"/>
      <c r="F71" s="262"/>
      <c r="G71" s="262"/>
      <c r="H71" s="262"/>
      <c r="I71" s="264"/>
      <c r="J71" s="265"/>
      <c r="K71" s="266"/>
      <c r="L71" s="262"/>
      <c r="M71" s="261"/>
    </row>
    <row r="72" spans="1:13" x14ac:dyDescent="0.25">
      <c r="C72" s="261"/>
      <c r="D72" s="262"/>
      <c r="E72" s="262"/>
      <c r="F72" s="262"/>
      <c r="G72" s="262"/>
      <c r="H72" s="262"/>
      <c r="I72" s="264"/>
      <c r="J72" s="265"/>
      <c r="K72" s="262"/>
      <c r="L72" s="262"/>
      <c r="M72" s="261"/>
    </row>
    <row r="73" spans="1:13" x14ac:dyDescent="0.25">
      <c r="C73" s="261"/>
      <c r="D73" s="262"/>
      <c r="E73" s="262"/>
      <c r="F73" s="262"/>
      <c r="G73" s="262"/>
      <c r="H73" s="262"/>
      <c r="I73" s="264"/>
      <c r="J73" s="265"/>
      <c r="K73" s="262"/>
      <c r="L73" s="262"/>
      <c r="M73" s="261"/>
    </row>
    <row r="74" spans="1:13" x14ac:dyDescent="0.25">
      <c r="C74" s="261"/>
      <c r="D74" s="262"/>
      <c r="E74" s="262"/>
      <c r="F74" s="262"/>
      <c r="G74" s="262"/>
      <c r="H74" s="262"/>
      <c r="I74" s="262"/>
      <c r="J74" s="262"/>
      <c r="K74" s="262"/>
      <c r="L74" s="262"/>
      <c r="M74" s="261"/>
    </row>
    <row r="75" spans="1:13" x14ac:dyDescent="0.25">
      <c r="D75" s="262"/>
      <c r="E75" s="262"/>
      <c r="F75" s="262"/>
      <c r="G75" s="262"/>
      <c r="H75" s="262"/>
      <c r="I75" s="262"/>
      <c r="J75" s="262"/>
      <c r="K75" s="262"/>
      <c r="L75" s="262"/>
    </row>
    <row r="76" spans="1:13" x14ac:dyDescent="0.25">
      <c r="D76" s="262"/>
      <c r="E76" s="262"/>
      <c r="F76" s="262"/>
      <c r="G76" s="262"/>
      <c r="H76" s="262"/>
      <c r="I76" s="262"/>
      <c r="J76" s="262"/>
      <c r="K76" s="262"/>
      <c r="L76" s="262"/>
    </row>
    <row r="77" spans="1:13" x14ac:dyDescent="0.25">
      <c r="D77" s="262"/>
      <c r="E77" s="262"/>
      <c r="F77" s="262"/>
      <c r="G77" s="262"/>
      <c r="H77" s="262"/>
      <c r="I77" s="262"/>
      <c r="J77" s="262"/>
      <c r="K77" s="262"/>
      <c r="L77" s="262"/>
    </row>
    <row r="78" spans="1:13" x14ac:dyDescent="0.25">
      <c r="D78" s="262"/>
      <c r="E78" s="262"/>
      <c r="F78" s="262"/>
      <c r="G78" s="262"/>
      <c r="H78" s="262"/>
      <c r="I78" s="262"/>
      <c r="J78" s="262"/>
      <c r="K78" s="262"/>
      <c r="L78" s="262"/>
    </row>
    <row r="79" spans="1:13" x14ac:dyDescent="0.25">
      <c r="D79" s="262"/>
      <c r="E79" s="262"/>
      <c r="F79" s="262"/>
      <c r="G79" s="262"/>
      <c r="H79" s="262"/>
      <c r="I79" s="262"/>
      <c r="J79" s="262"/>
      <c r="K79" s="262"/>
      <c r="L79" s="262"/>
    </row>
    <row r="80" spans="1:13" x14ac:dyDescent="0.25">
      <c r="D80" s="262"/>
      <c r="E80" s="262"/>
      <c r="F80" s="262"/>
      <c r="G80" s="262"/>
      <c r="H80" s="262"/>
      <c r="I80" s="262"/>
      <c r="J80" s="262"/>
      <c r="K80" s="262"/>
      <c r="L80" s="262"/>
    </row>
    <row r="81" spans="4:12" x14ac:dyDescent="0.25">
      <c r="D81" s="262"/>
      <c r="E81" s="262"/>
      <c r="F81" s="262"/>
      <c r="G81" s="262"/>
      <c r="H81" s="262"/>
      <c r="I81" s="262"/>
      <c r="J81" s="262"/>
      <c r="K81" s="262"/>
      <c r="L81" s="262"/>
    </row>
    <row r="82" spans="4:12" x14ac:dyDescent="0.25">
      <c r="D82" s="262"/>
      <c r="E82" s="262"/>
      <c r="F82" s="262"/>
      <c r="G82" s="262"/>
      <c r="H82" s="262"/>
      <c r="I82" s="262"/>
      <c r="J82" s="262"/>
      <c r="K82" s="262"/>
      <c r="L82" s="262"/>
    </row>
    <row r="83" spans="4:12" x14ac:dyDescent="0.25">
      <c r="D83" s="262"/>
      <c r="E83" s="262"/>
      <c r="F83" s="262"/>
      <c r="G83" s="262"/>
      <c r="H83" s="262"/>
      <c r="I83" s="262"/>
      <c r="J83" s="262"/>
      <c r="K83" s="262"/>
      <c r="L83" s="262"/>
    </row>
    <row r="84" spans="4:12" x14ac:dyDescent="0.25">
      <c r="D84" s="262"/>
      <c r="E84" s="262"/>
      <c r="F84" s="262"/>
      <c r="G84" s="262"/>
      <c r="H84" s="262"/>
      <c r="I84" s="262"/>
      <c r="J84" s="262"/>
      <c r="K84" s="262"/>
      <c r="L84" s="262"/>
    </row>
    <row r="85" spans="4:12" x14ac:dyDescent="0.25">
      <c r="D85" s="262"/>
      <c r="E85" s="262"/>
      <c r="F85" s="262"/>
      <c r="G85" s="262"/>
      <c r="H85" s="262"/>
      <c r="I85" s="262"/>
      <c r="J85" s="262"/>
      <c r="K85" s="262"/>
      <c r="L85" s="262"/>
    </row>
    <row r="86" spans="4:12" x14ac:dyDescent="0.25">
      <c r="D86" s="262"/>
      <c r="E86" s="262"/>
      <c r="F86" s="262"/>
      <c r="G86" s="262"/>
      <c r="H86" s="262"/>
      <c r="I86" s="262"/>
      <c r="J86" s="262"/>
      <c r="K86" s="262"/>
      <c r="L86" s="262"/>
    </row>
  </sheetData>
  <sheetProtection algorithmName="SHA-512" hashValue="1XexGQyzl2EMUL7ySdrDmajOfXfWOx1RHtFqjNk00MFyyO/7/q+ospD7qZVtJ23YbRWWOTIrIWCqVfbIcLi47A==" saltValue="CjL33w1C+KTJPGatrkPXpA==" spinCount="100000" sheet="1" formatCells="0" formatRows="0" selectLockedCells="1"/>
  <mergeCells count="57">
    <mergeCell ref="A16:E19"/>
    <mergeCell ref="A1:B1"/>
    <mergeCell ref="C1:E1"/>
    <mergeCell ref="K1:L1"/>
    <mergeCell ref="C2:E2"/>
    <mergeCell ref="C3:E3"/>
    <mergeCell ref="F1:J3"/>
    <mergeCell ref="A22:A23"/>
    <mergeCell ref="L20:M20"/>
    <mergeCell ref="A5:E6"/>
    <mergeCell ref="G5:J5"/>
    <mergeCell ref="G6:M7"/>
    <mergeCell ref="B7:E7"/>
    <mergeCell ref="B8:E8"/>
    <mergeCell ref="G8:M19"/>
    <mergeCell ref="B9:E9"/>
    <mergeCell ref="B10:E10"/>
    <mergeCell ref="B11:E11"/>
    <mergeCell ref="B12:E12"/>
    <mergeCell ref="A14:B14"/>
    <mergeCell ref="C14:E14"/>
    <mergeCell ref="A15:B15"/>
    <mergeCell ref="C15:E15"/>
    <mergeCell ref="A30:A32"/>
    <mergeCell ref="G30:H30"/>
    <mergeCell ref="G32:H32"/>
    <mergeCell ref="A25:A28"/>
    <mergeCell ref="G25:H25"/>
    <mergeCell ref="G26:H26"/>
    <mergeCell ref="G27:H27"/>
    <mergeCell ref="G31:H31"/>
    <mergeCell ref="A34:A38"/>
    <mergeCell ref="G34:H34"/>
    <mergeCell ref="G38:H38"/>
    <mergeCell ref="A53:A55"/>
    <mergeCell ref="G53:H53"/>
    <mergeCell ref="G54:H54"/>
    <mergeCell ref="G55:H55"/>
    <mergeCell ref="A40:A51"/>
    <mergeCell ref="G41:H41"/>
    <mergeCell ref="G49:H49"/>
    <mergeCell ref="G50:H50"/>
    <mergeCell ref="G51:H51"/>
    <mergeCell ref="G35:H35"/>
    <mergeCell ref="G45:H45"/>
    <mergeCell ref="G46:H46"/>
    <mergeCell ref="G47:H47"/>
    <mergeCell ref="G21:H21"/>
    <mergeCell ref="G23:H23"/>
    <mergeCell ref="R1:V1"/>
    <mergeCell ref="R8:V8"/>
    <mergeCell ref="R16:V16"/>
    <mergeCell ref="G48:H48"/>
    <mergeCell ref="Q23:S23"/>
    <mergeCell ref="G42:H42"/>
    <mergeCell ref="G43:H43"/>
    <mergeCell ref="G44:H44"/>
  </mergeCells>
  <dataValidations count="5">
    <dataValidation type="list" allowBlank="1" showInputMessage="1" showErrorMessage="1" sqref="H40" xr:uid="{00000000-0002-0000-1300-000000000000}">
      <formula1>$U$18:$U$22</formula1>
    </dataValidation>
    <dataValidation type="list" allowBlank="1" showInputMessage="1" showErrorMessage="1" sqref="H37" xr:uid="{00000000-0002-0000-1300-000001000000}">
      <formula1>$U$10:$U$14</formula1>
    </dataValidation>
    <dataValidation type="list" allowBlank="1" showInputMessage="1" showErrorMessage="1" sqref="H36" xr:uid="{00000000-0002-0000-1300-000002000000}">
      <formula1>$U$3:$U$7</formula1>
    </dataValidation>
    <dataValidation type="list" allowBlank="1" showInputMessage="1" showErrorMessage="1" sqref="H28" xr:uid="{00000000-0002-0000-1300-000003000000}">
      <formula1>$P$25:$P$29</formula1>
    </dataValidation>
    <dataValidation type="list" allowBlank="1" showInputMessage="1" showErrorMessage="1" sqref="H22" xr:uid="{00000000-0002-0000-1300-000004000000}">
      <formula1>$X$2:$X$6</formula1>
    </dataValidation>
  </dataValidations>
  <pageMargins left="0.70866141732283472" right="0.70866141732283472" top="0.74803149606299213" bottom="0.74803149606299213" header="0.31496062992125984" footer="0.31496062992125984"/>
  <pageSetup paperSize="9" scale="52" fitToHeight="3" orientation="landscape" r:id="rId1"/>
  <headerFooter>
    <oddHeader>&amp;LDepartment for Energy and Mining&amp;C&amp;"Arial"&amp;12&amp;KA80000 OFFICIAL&amp;1#_x000D_</oddHeader>
    <oddFooter>&amp;L&amp;Z
&amp;F&amp;C&amp;P&amp;R&amp;D</oddFooter>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A1:AU89"/>
  <sheetViews>
    <sheetView showGridLines="0" zoomScale="90" zoomScaleNormal="90" workbookViewId="0">
      <selection activeCell="G8" sqref="G8:M19"/>
    </sheetView>
  </sheetViews>
  <sheetFormatPr defaultRowHeight="15" x14ac:dyDescent="0.25"/>
  <cols>
    <col min="1" max="1" width="21.140625" customWidth="1"/>
    <col min="2" max="2" width="10.42578125" style="56" customWidth="1"/>
    <col min="3" max="3" width="38.42578125" customWidth="1"/>
    <col min="4" max="4" width="13.5703125" customWidth="1"/>
    <col min="5" max="5" width="11" customWidth="1"/>
    <col min="7" max="7" width="21.5703125" customWidth="1"/>
    <col min="8" max="8" width="15" customWidth="1"/>
    <col min="9" max="9" width="13.5703125" customWidth="1"/>
    <col min="10" max="10" width="12.140625" customWidth="1"/>
    <col min="11" max="11" width="16.7109375" customWidth="1"/>
    <col min="12" max="12" width="13.5703125" customWidth="1"/>
    <col min="13" max="13" width="63.85546875" customWidth="1"/>
    <col min="16" max="16" width="14.85546875" customWidth="1"/>
    <col min="17" max="17" width="11.7109375" customWidth="1"/>
    <col min="18" max="18" width="12.42578125" customWidth="1"/>
    <col min="19" max="19" width="11" customWidth="1"/>
    <col min="20" max="20" width="15.28515625" customWidth="1"/>
    <col min="21" max="21" width="13.85546875" customWidth="1"/>
    <col min="22" max="22" width="12" customWidth="1"/>
  </cols>
  <sheetData>
    <row r="1" spans="1:47" ht="54" customHeight="1" x14ac:dyDescent="0.3">
      <c r="A1" s="1322" t="s">
        <v>166</v>
      </c>
      <c r="B1" s="1323"/>
      <c r="C1" s="1324" t="str">
        <f>'Summary Page'!E13</f>
        <v/>
      </c>
      <c r="D1" s="1325"/>
      <c r="E1" s="1326"/>
      <c r="F1" s="1360" t="s">
        <v>934</v>
      </c>
      <c r="G1" s="1285"/>
      <c r="H1" s="1285"/>
      <c r="I1" s="1285"/>
      <c r="J1" s="1286"/>
      <c r="K1" s="1295" t="s">
        <v>460</v>
      </c>
      <c r="L1" s="1295"/>
      <c r="M1" s="404"/>
      <c r="P1" s="525" t="str">
        <f>B41</f>
        <v>A1013</v>
      </c>
      <c r="Q1" s="526" t="s">
        <v>19</v>
      </c>
      <c r="R1" s="1273" t="s">
        <v>893</v>
      </c>
      <c r="S1" s="1274"/>
      <c r="T1" s="1274"/>
      <c r="U1" s="1274"/>
      <c r="V1" s="1275"/>
      <c r="AA1" s="276"/>
      <c r="AB1" s="280"/>
      <c r="AC1" s="280"/>
      <c r="AL1" s="276" t="s">
        <v>397</v>
      </c>
      <c r="AM1" s="280"/>
      <c r="AN1" s="280"/>
    </row>
    <row r="2" spans="1:47" ht="30" x14ac:dyDescent="0.35">
      <c r="A2" s="368" t="s">
        <v>461</v>
      </c>
      <c r="B2" s="325">
        <v>8</v>
      </c>
      <c r="C2" s="1296" t="str">
        <f>'Summary Page'!E19</f>
        <v/>
      </c>
      <c r="D2" s="1297"/>
      <c r="E2" s="1348"/>
      <c r="F2" s="1287"/>
      <c r="G2" s="1288"/>
      <c r="H2" s="1288"/>
      <c r="I2" s="1288"/>
      <c r="J2" s="1289"/>
      <c r="K2" s="326"/>
      <c r="L2" s="327" t="s">
        <v>152</v>
      </c>
      <c r="M2" s="328">
        <f>K61</f>
        <v>0</v>
      </c>
      <c r="P2" s="297" t="s">
        <v>61</v>
      </c>
      <c r="Q2" s="371" t="s">
        <v>58</v>
      </c>
      <c r="R2" s="371" t="s">
        <v>59</v>
      </c>
      <c r="S2" s="371" t="s">
        <v>60</v>
      </c>
      <c r="T2" s="371" t="s">
        <v>53</v>
      </c>
      <c r="U2" s="372" t="s">
        <v>61</v>
      </c>
      <c r="V2" s="373" t="s">
        <v>53</v>
      </c>
      <c r="AA2" s="503" t="s">
        <v>395</v>
      </c>
      <c r="AB2" s="512" t="s">
        <v>936</v>
      </c>
      <c r="AC2" s="233"/>
      <c r="AL2" s="503" t="s">
        <v>727</v>
      </c>
      <c r="AM2" s="512" t="s">
        <v>937</v>
      </c>
      <c r="AN2" s="233"/>
      <c r="AS2" s="503" t="s">
        <v>729</v>
      </c>
      <c r="AT2" s="512" t="s">
        <v>938</v>
      </c>
      <c r="AU2" s="233"/>
    </row>
    <row r="3" spans="1:47" ht="21" x14ac:dyDescent="0.25">
      <c r="A3" s="329" t="s">
        <v>267</v>
      </c>
      <c r="B3" s="477">
        <f>'Version Control'!B50</f>
        <v>7</v>
      </c>
      <c r="C3" s="1356"/>
      <c r="D3" s="1357"/>
      <c r="E3" s="1358"/>
      <c r="F3" s="1290"/>
      <c r="G3" s="1291"/>
      <c r="H3" s="1291"/>
      <c r="I3" s="1291"/>
      <c r="J3" s="1292"/>
      <c r="K3" s="331"/>
      <c r="L3" s="332" t="s">
        <v>462</v>
      </c>
      <c r="M3" s="333">
        <f>'Summary Page'!J73</f>
        <v>0</v>
      </c>
      <c r="P3" s="374" t="s">
        <v>35</v>
      </c>
      <c r="Q3" s="357">
        <f>VLOOKUP(P1,Activities!$A$10:$Q$152,16,FALSE)</f>
        <v>1.4289323610931841</v>
      </c>
      <c r="R3" s="357">
        <f>VLOOKUP(Q1,Activities!$A$10:$Q$152,16,FALSE)</f>
        <v>1.1303836975020005</v>
      </c>
      <c r="S3" s="376">
        <v>1</v>
      </c>
      <c r="T3" s="375">
        <f>R3+Q3</f>
        <v>2.5593160585951846</v>
      </c>
      <c r="U3" s="235" t="s">
        <v>35</v>
      </c>
      <c r="V3" s="377">
        <f>T3</f>
        <v>2.5593160585951846</v>
      </c>
      <c r="AA3" s="511"/>
      <c r="AB3" s="512"/>
      <c r="AC3" s="451" t="s">
        <v>700</v>
      </c>
      <c r="AL3" s="511"/>
      <c r="AM3" s="512"/>
      <c r="AN3" s="451" t="s">
        <v>700</v>
      </c>
      <c r="AS3" s="511"/>
      <c r="AT3" s="512"/>
      <c r="AU3" s="451" t="s">
        <v>700</v>
      </c>
    </row>
    <row r="4" spans="1:47" ht="15" customHeight="1" x14ac:dyDescent="0.25">
      <c r="A4" s="334" t="s">
        <v>463</v>
      </c>
      <c r="B4" s="478">
        <f>'Version Control'!A50</f>
        <v>45531</v>
      </c>
      <c r="C4" s="233"/>
      <c r="D4" s="233"/>
      <c r="E4" s="233"/>
      <c r="F4" s="233"/>
      <c r="G4" s="233"/>
      <c r="H4" s="233"/>
      <c r="I4" s="233"/>
      <c r="J4" s="233"/>
      <c r="K4" s="294"/>
      <c r="L4" s="336" t="s">
        <v>464</v>
      </c>
      <c r="M4" s="337" t="e">
        <f>M2/M3</f>
        <v>#DIV/0!</v>
      </c>
      <c r="P4" s="374" t="s">
        <v>36</v>
      </c>
      <c r="Q4" s="375">
        <f>Q3</f>
        <v>1.4289323610931841</v>
      </c>
      <c r="R4" s="375">
        <f>R3*2</f>
        <v>2.260767395004001</v>
      </c>
      <c r="S4" s="376">
        <v>0.8</v>
      </c>
      <c r="T4" s="375">
        <f>Q4+(R4*S4)</f>
        <v>3.237546277096385</v>
      </c>
      <c r="U4" s="235" t="s">
        <v>36</v>
      </c>
      <c r="V4" s="377">
        <f>T4</f>
        <v>3.237546277096385</v>
      </c>
      <c r="AA4" s="362" t="s">
        <v>648</v>
      </c>
      <c r="AB4" s="357"/>
      <c r="AC4" s="357">
        <f>VLOOKUP(AA2,Activities!$A$10:$Q$152,16,FALSE)</f>
        <v>83.477353390123142</v>
      </c>
      <c r="AL4" s="362" t="s">
        <v>648</v>
      </c>
      <c r="AM4" s="357"/>
      <c r="AN4" s="357">
        <f>VLOOKUP(AL2,Activities!$A$10:$Q$152,16,FALSE)</f>
        <v>276.88626505067236</v>
      </c>
      <c r="AS4" s="362" t="s">
        <v>648</v>
      </c>
      <c r="AT4" s="357"/>
      <c r="AU4" s="357">
        <f>VLOOKUP(AS2,Activities!$A$10:$Q$152,16,FALSE)</f>
        <v>221.88626505067236</v>
      </c>
    </row>
    <row r="5" spans="1:47" ht="15" customHeight="1" x14ac:dyDescent="0.25">
      <c r="A5" s="1349" t="s">
        <v>465</v>
      </c>
      <c r="B5" s="1298"/>
      <c r="C5" s="1298"/>
      <c r="D5" s="1298"/>
      <c r="E5" s="1299"/>
      <c r="F5" s="233"/>
      <c r="G5" s="1302" t="s">
        <v>466</v>
      </c>
      <c r="H5" s="1303"/>
      <c r="I5" s="1303"/>
      <c r="J5" s="1304"/>
      <c r="K5" s="233"/>
      <c r="L5" s="233"/>
      <c r="M5" s="233"/>
      <c r="P5" s="374" t="s">
        <v>37</v>
      </c>
      <c r="Q5" s="375">
        <f t="shared" ref="Q5:Q6" si="0">Q4</f>
        <v>1.4289323610931841</v>
      </c>
      <c r="R5" s="375">
        <f>R3*4</f>
        <v>4.5215347900080021</v>
      </c>
      <c r="S5" s="376">
        <v>0.7</v>
      </c>
      <c r="T5" s="375">
        <f>Q5+(R5*S5)</f>
        <v>4.5940067140987857</v>
      </c>
      <c r="U5" s="235" t="s">
        <v>37</v>
      </c>
      <c r="V5" s="377">
        <f>T5</f>
        <v>4.5940067140987857</v>
      </c>
    </row>
    <row r="6" spans="1:47" ht="21" customHeight="1" x14ac:dyDescent="0.25">
      <c r="A6" s="1350"/>
      <c r="B6" s="1351"/>
      <c r="C6" s="1351"/>
      <c r="D6" s="1351"/>
      <c r="E6" s="1352"/>
      <c r="F6" s="299"/>
      <c r="G6" s="1305" t="s">
        <v>484</v>
      </c>
      <c r="H6" s="1306"/>
      <c r="I6" s="1306"/>
      <c r="J6" s="1306"/>
      <c r="K6" s="1306"/>
      <c r="L6" s="1306"/>
      <c r="M6" s="1307"/>
      <c r="P6" s="374" t="s">
        <v>38</v>
      </c>
      <c r="Q6" s="375">
        <f t="shared" si="0"/>
        <v>1.4289323610931841</v>
      </c>
      <c r="R6" s="375">
        <f>R3*8</f>
        <v>9.0430695800160041</v>
      </c>
      <c r="S6" s="376">
        <v>0.6</v>
      </c>
      <c r="T6" s="375">
        <f>Q6+(R6*S6)</f>
        <v>6.8547741091027863</v>
      </c>
      <c r="U6" s="235" t="s">
        <v>244</v>
      </c>
      <c r="V6" s="377">
        <f>T6</f>
        <v>6.8547741091027863</v>
      </c>
      <c r="AA6" s="503" t="s">
        <v>396</v>
      </c>
      <c r="AB6" s="512" t="s">
        <v>935</v>
      </c>
      <c r="AC6" s="233"/>
      <c r="AL6" s="56" t="s">
        <v>939</v>
      </c>
      <c r="AS6" s="56" t="s">
        <v>939</v>
      </c>
    </row>
    <row r="7" spans="1:47" ht="15" customHeight="1" x14ac:dyDescent="0.25">
      <c r="A7" s="348">
        <v>1</v>
      </c>
      <c r="B7" s="1353" t="s">
        <v>519</v>
      </c>
      <c r="C7" s="1354"/>
      <c r="D7" s="1354"/>
      <c r="E7" s="1355"/>
      <c r="F7" s="339"/>
      <c r="G7" s="1308"/>
      <c r="H7" s="1309"/>
      <c r="I7" s="1309"/>
      <c r="J7" s="1309"/>
      <c r="K7" s="1309"/>
      <c r="L7" s="1309"/>
      <c r="M7" s="1310"/>
      <c r="P7" s="238"/>
      <c r="Q7" s="236"/>
      <c r="R7" s="236"/>
      <c r="S7" s="236"/>
      <c r="T7" s="236"/>
      <c r="U7" s="236" t="s">
        <v>264</v>
      </c>
      <c r="V7" s="237"/>
      <c r="AA7" s="508" t="s">
        <v>61</v>
      </c>
      <c r="AB7" s="509" t="s">
        <v>648</v>
      </c>
      <c r="AC7" s="508" t="s">
        <v>140</v>
      </c>
      <c r="AL7" s="508" t="s">
        <v>61</v>
      </c>
      <c r="AM7" s="509" t="s">
        <v>648</v>
      </c>
      <c r="AS7" s="508" t="s">
        <v>61</v>
      </c>
      <c r="AT7" s="509" t="s">
        <v>648</v>
      </c>
    </row>
    <row r="8" spans="1:47" ht="18.75" customHeight="1" x14ac:dyDescent="0.25">
      <c r="A8" s="297">
        <v>2</v>
      </c>
      <c r="B8" s="1340" t="s">
        <v>665</v>
      </c>
      <c r="C8" s="1341"/>
      <c r="D8" s="1341"/>
      <c r="E8" s="1342"/>
      <c r="F8" s="339"/>
      <c r="G8" s="1137"/>
      <c r="H8" s="1138"/>
      <c r="I8" s="1138"/>
      <c r="J8" s="1138"/>
      <c r="K8" s="1138"/>
      <c r="L8" s="1138"/>
      <c r="M8" s="1139"/>
      <c r="P8" s="233"/>
      <c r="Q8" s="233"/>
      <c r="R8" s="233"/>
      <c r="S8" s="233"/>
      <c r="T8" s="233"/>
      <c r="U8" s="233"/>
      <c r="V8" s="233"/>
      <c r="AA8" s="462" t="s">
        <v>54</v>
      </c>
      <c r="AB8" s="509" t="s">
        <v>700</v>
      </c>
      <c r="AC8" s="462"/>
      <c r="AL8" s="462" t="s">
        <v>54</v>
      </c>
      <c r="AM8" s="509" t="s">
        <v>700</v>
      </c>
      <c r="AS8" s="462" t="s">
        <v>54</v>
      </c>
      <c r="AT8" s="509" t="s">
        <v>700</v>
      </c>
    </row>
    <row r="9" spans="1:47" ht="15.75" customHeight="1" x14ac:dyDescent="0.25">
      <c r="A9" s="297">
        <v>3</v>
      </c>
      <c r="B9" s="1343" t="s">
        <v>666</v>
      </c>
      <c r="C9" s="1344"/>
      <c r="D9" s="1344"/>
      <c r="E9" s="1345"/>
      <c r="F9" s="339"/>
      <c r="G9" s="1140"/>
      <c r="H9" s="1329"/>
      <c r="I9" s="1329"/>
      <c r="J9" s="1329"/>
      <c r="K9" s="1329"/>
      <c r="L9" s="1329"/>
      <c r="M9" s="1142"/>
      <c r="P9" s="525" t="str">
        <f>B41</f>
        <v>A1013</v>
      </c>
      <c r="Q9" s="526" t="s">
        <v>19</v>
      </c>
      <c r="R9" s="1273" t="s">
        <v>72</v>
      </c>
      <c r="S9" s="1274"/>
      <c r="T9" s="1274"/>
      <c r="U9" s="1274"/>
      <c r="V9" s="1275"/>
      <c r="AA9" s="461">
        <v>25</v>
      </c>
      <c r="AB9" s="510">
        <f>VLOOKUP(AA6,Activities!A10:Q152,16,FALSE)</f>
        <v>9.0925833525454216</v>
      </c>
      <c r="AC9" s="461">
        <v>1</v>
      </c>
      <c r="AL9" s="461">
        <v>25</v>
      </c>
      <c r="AM9" s="510">
        <f>AN$4+AB9</f>
        <v>285.9788484032178</v>
      </c>
      <c r="AS9" s="461">
        <v>25</v>
      </c>
      <c r="AT9" s="510">
        <f>AU$4+AB9</f>
        <v>230.9788484032178</v>
      </c>
    </row>
    <row r="10" spans="1:47" ht="15" customHeight="1" x14ac:dyDescent="0.25">
      <c r="A10" s="297">
        <v>4</v>
      </c>
      <c r="B10" s="1327"/>
      <c r="C10" s="1327"/>
      <c r="D10" s="1327"/>
      <c r="E10" s="1328"/>
      <c r="F10" s="339"/>
      <c r="G10" s="1140"/>
      <c r="H10" s="1329"/>
      <c r="I10" s="1329"/>
      <c r="J10" s="1329"/>
      <c r="K10" s="1329"/>
      <c r="L10" s="1329"/>
      <c r="M10" s="1142"/>
      <c r="P10" s="297" t="s">
        <v>61</v>
      </c>
      <c r="Q10" s="371" t="s">
        <v>58</v>
      </c>
      <c r="R10" s="371" t="s">
        <v>59</v>
      </c>
      <c r="S10" s="371" t="s">
        <v>60</v>
      </c>
      <c r="T10" s="371" t="s">
        <v>53</v>
      </c>
      <c r="U10" s="372" t="s">
        <v>61</v>
      </c>
      <c r="V10" s="373" t="s">
        <v>53</v>
      </c>
      <c r="AA10" s="461">
        <v>50</v>
      </c>
      <c r="AB10" s="510">
        <f>AB$9*AC10</f>
        <v>13.086705201305357</v>
      </c>
      <c r="AC10" s="461">
        <v>1.4392725030826141</v>
      </c>
      <c r="AL10" s="461">
        <v>50</v>
      </c>
      <c r="AM10" s="510">
        <f t="shared" ref="AM10:AM14" si="1">AN$4+AB10</f>
        <v>289.9729702519777</v>
      </c>
      <c r="AS10" s="461">
        <v>50</v>
      </c>
      <c r="AT10" s="510">
        <f t="shared" ref="AT10:AT14" si="2">AU$4+AB10</f>
        <v>234.97297025197773</v>
      </c>
    </row>
    <row r="11" spans="1:47" ht="15" customHeight="1" x14ac:dyDescent="0.25">
      <c r="A11" s="297">
        <v>5</v>
      </c>
      <c r="B11" s="1330"/>
      <c r="C11" s="1331"/>
      <c r="D11" s="1331"/>
      <c r="E11" s="1332"/>
      <c r="F11" s="339"/>
      <c r="G11" s="1140"/>
      <c r="H11" s="1329"/>
      <c r="I11" s="1329"/>
      <c r="J11" s="1329"/>
      <c r="K11" s="1329"/>
      <c r="L11" s="1329"/>
      <c r="M11" s="1142"/>
      <c r="P11" s="374" t="s">
        <v>35</v>
      </c>
      <c r="Q11" s="357">
        <f>VLOOKUP(P9,Activities!$A$10:$Q$152,16,FALSE)</f>
        <v>1.4289323610931841</v>
      </c>
      <c r="R11" s="357">
        <f>VLOOKUP(Q9,Activities!$A$10:$Q$152,16,FALSE)</f>
        <v>1.1303836975020005</v>
      </c>
      <c r="S11" s="376">
        <v>1</v>
      </c>
      <c r="T11" s="375">
        <f>R11+Q11</f>
        <v>2.5593160585951846</v>
      </c>
      <c r="U11" s="235" t="s">
        <v>35</v>
      </c>
      <c r="V11" s="377">
        <f>T11</f>
        <v>2.5593160585951846</v>
      </c>
      <c r="AA11" s="461">
        <v>100</v>
      </c>
      <c r="AB11" s="510">
        <f>AB$9*AC11</f>
        <v>21.074948898825227</v>
      </c>
      <c r="AC11" s="461">
        <v>2.3178175092478424</v>
      </c>
      <c r="AL11" s="461">
        <v>100</v>
      </c>
      <c r="AM11" s="510">
        <f t="shared" si="1"/>
        <v>297.96121394949762</v>
      </c>
      <c r="AS11" s="461">
        <v>100</v>
      </c>
      <c r="AT11" s="510">
        <f t="shared" si="2"/>
        <v>242.96121394949759</v>
      </c>
    </row>
    <row r="12" spans="1:47" ht="15" customHeight="1" x14ac:dyDescent="0.25">
      <c r="A12" s="305">
        <v>6</v>
      </c>
      <c r="B12" s="1282"/>
      <c r="C12" s="1282"/>
      <c r="D12" s="1282"/>
      <c r="E12" s="1283"/>
      <c r="F12" s="233"/>
      <c r="G12" s="1140"/>
      <c r="H12" s="1329"/>
      <c r="I12" s="1329"/>
      <c r="J12" s="1329"/>
      <c r="K12" s="1329"/>
      <c r="L12" s="1329"/>
      <c r="M12" s="1142"/>
      <c r="P12" s="374" t="s">
        <v>36</v>
      </c>
      <c r="Q12" s="375">
        <f>Q11</f>
        <v>1.4289323610931841</v>
      </c>
      <c r="R12" s="375">
        <f>R11*2</f>
        <v>2.260767395004001</v>
      </c>
      <c r="S12" s="376">
        <v>0.8</v>
      </c>
      <c r="T12" s="375">
        <f>Q12+(R12*S12)</f>
        <v>3.237546277096385</v>
      </c>
      <c r="U12" s="235" t="s">
        <v>36</v>
      </c>
      <c r="V12" s="377">
        <f>T12</f>
        <v>3.237546277096385</v>
      </c>
      <c r="AA12" s="461">
        <v>200</v>
      </c>
      <c r="AB12" s="510">
        <f>AB$9*AC12</f>
        <v>37.05143629386496</v>
      </c>
      <c r="AC12" s="461">
        <v>4.0749075215782984</v>
      </c>
      <c r="AL12" s="461">
        <v>200</v>
      </c>
      <c r="AM12" s="510">
        <f t="shared" si="1"/>
        <v>313.93770134453734</v>
      </c>
      <c r="AS12" s="461">
        <v>200</v>
      </c>
      <c r="AT12" s="510">
        <f t="shared" si="2"/>
        <v>258.93770134453734</v>
      </c>
    </row>
    <row r="13" spans="1:47" ht="15" customHeight="1" x14ac:dyDescent="0.25">
      <c r="A13" s="340" t="s">
        <v>34</v>
      </c>
      <c r="B13" s="340"/>
      <c r="C13" s="233"/>
      <c r="D13" s="233"/>
      <c r="E13" s="233"/>
      <c r="F13" s="233"/>
      <c r="G13" s="1140"/>
      <c r="H13" s="1329"/>
      <c r="I13" s="1329"/>
      <c r="J13" s="1329"/>
      <c r="K13" s="1329"/>
      <c r="L13" s="1329"/>
      <c r="M13" s="1142"/>
      <c r="P13" s="374" t="s">
        <v>37</v>
      </c>
      <c r="Q13" s="375">
        <f t="shared" ref="Q13:Q14" si="3">Q12</f>
        <v>1.4289323610931841</v>
      </c>
      <c r="R13" s="375">
        <f>R11*4</f>
        <v>4.5215347900080021</v>
      </c>
      <c r="S13" s="376">
        <v>0.7</v>
      </c>
      <c r="T13" s="375">
        <f>Q13+(R13*S13)</f>
        <v>4.5940067140987857</v>
      </c>
      <c r="U13" s="235" t="s">
        <v>37</v>
      </c>
      <c r="V13" s="377">
        <f>T13</f>
        <v>4.5940067140987857</v>
      </c>
      <c r="AA13" s="461">
        <v>300</v>
      </c>
      <c r="AB13" s="510">
        <f>AB$9*AC13</f>
        <v>53.0279236889047</v>
      </c>
      <c r="AC13" s="461">
        <v>5.8319975339087549</v>
      </c>
      <c r="AL13" s="461">
        <v>300</v>
      </c>
      <c r="AM13" s="510">
        <f t="shared" si="1"/>
        <v>329.91418873957707</v>
      </c>
      <c r="AS13" s="461">
        <v>300</v>
      </c>
      <c r="AT13" s="510">
        <f t="shared" si="2"/>
        <v>274.91418873957707</v>
      </c>
    </row>
    <row r="14" spans="1:47" ht="15" customHeight="1" x14ac:dyDescent="0.25">
      <c r="A14" s="1276"/>
      <c r="B14" s="1277"/>
      <c r="C14" s="1278" t="s">
        <v>352</v>
      </c>
      <c r="D14" s="1278"/>
      <c r="E14" s="1279"/>
      <c r="F14" s="233"/>
      <c r="G14" s="1140"/>
      <c r="H14" s="1329"/>
      <c r="I14" s="1329"/>
      <c r="J14" s="1329"/>
      <c r="K14" s="1329"/>
      <c r="L14" s="1329"/>
      <c r="M14" s="1142"/>
      <c r="P14" s="374" t="s">
        <v>38</v>
      </c>
      <c r="Q14" s="375">
        <f t="shared" si="3"/>
        <v>1.4289323610931841</v>
      </c>
      <c r="R14" s="375">
        <f>R11*8</f>
        <v>9.0430695800160041</v>
      </c>
      <c r="S14" s="376">
        <v>0.6</v>
      </c>
      <c r="T14" s="375">
        <f>Q14+(R14*S14)</f>
        <v>6.8547741091027863</v>
      </c>
      <c r="U14" s="235" t="s">
        <v>244</v>
      </c>
      <c r="V14" s="377">
        <f>T14</f>
        <v>6.8547741091027863</v>
      </c>
      <c r="AA14" s="461">
        <v>400</v>
      </c>
      <c r="AB14" s="510">
        <f>AB$9*AC14</f>
        <v>69.004411083944447</v>
      </c>
      <c r="AC14" s="461">
        <v>7.5890875462392131</v>
      </c>
      <c r="AL14" s="461">
        <v>400</v>
      </c>
      <c r="AM14" s="510">
        <f t="shared" si="1"/>
        <v>345.8906761346168</v>
      </c>
      <c r="AS14" s="461">
        <v>400</v>
      </c>
      <c r="AT14" s="510">
        <f t="shared" si="2"/>
        <v>290.8906761346168</v>
      </c>
    </row>
    <row r="15" spans="1:47" x14ac:dyDescent="0.25">
      <c r="A15" s="1201"/>
      <c r="B15" s="1202"/>
      <c r="C15" s="1280" t="s">
        <v>467</v>
      </c>
      <c r="D15" s="1280"/>
      <c r="E15" s="1281"/>
      <c r="F15" s="233"/>
      <c r="G15" s="1140"/>
      <c r="H15" s="1329"/>
      <c r="I15" s="1329"/>
      <c r="J15" s="1329"/>
      <c r="K15" s="1329"/>
      <c r="L15" s="1329"/>
      <c r="M15" s="1142"/>
      <c r="P15" s="378"/>
      <c r="Q15" s="379"/>
      <c r="R15" s="379"/>
      <c r="S15" s="379"/>
      <c r="T15" s="379"/>
      <c r="U15" s="236" t="s">
        <v>264</v>
      </c>
      <c r="V15" s="380"/>
      <c r="AA15" s="233" t="s">
        <v>264</v>
      </c>
      <c r="AL15" s="233" t="s">
        <v>264</v>
      </c>
      <c r="AS15" s="233" t="s">
        <v>264</v>
      </c>
    </row>
    <row r="16" spans="1:47" ht="15" customHeight="1" x14ac:dyDescent="0.25">
      <c r="A16" s="1284" t="s">
        <v>824</v>
      </c>
      <c r="B16" s="1285"/>
      <c r="C16" s="1285"/>
      <c r="D16" s="1285"/>
      <c r="E16" s="1286"/>
      <c r="F16" s="233"/>
      <c r="G16" s="1140"/>
      <c r="H16" s="1329"/>
      <c r="I16" s="1329"/>
      <c r="J16" s="1329"/>
      <c r="K16" s="1329"/>
      <c r="L16" s="1329"/>
      <c r="M16" s="1142"/>
      <c r="P16" s="47"/>
      <c r="Q16" s="47"/>
      <c r="R16" s="1"/>
      <c r="S16" s="1"/>
      <c r="T16" s="1"/>
      <c r="U16" s="1"/>
      <c r="V16" s="1"/>
    </row>
    <row r="17" spans="1:29" ht="15" customHeight="1" x14ac:dyDescent="0.25">
      <c r="A17" s="1287"/>
      <c r="B17" s="1288"/>
      <c r="C17" s="1288"/>
      <c r="D17" s="1288"/>
      <c r="E17" s="1289"/>
      <c r="F17" s="233"/>
      <c r="G17" s="1140"/>
      <c r="H17" s="1329"/>
      <c r="I17" s="1329"/>
      <c r="J17" s="1329"/>
      <c r="K17" s="1329"/>
      <c r="L17" s="1329"/>
      <c r="M17" s="1142"/>
      <c r="P17" s="47"/>
      <c r="Q17" s="47"/>
      <c r="R17" s="1"/>
      <c r="S17" s="1"/>
      <c r="T17" s="1"/>
      <c r="U17" s="1"/>
      <c r="V17" s="1"/>
      <c r="AA17" s="56" t="s">
        <v>939</v>
      </c>
    </row>
    <row r="18" spans="1:29" ht="15" customHeight="1" x14ac:dyDescent="0.25">
      <c r="A18" s="1287"/>
      <c r="B18" s="1288"/>
      <c r="C18" s="1288"/>
      <c r="D18" s="1288"/>
      <c r="E18" s="1289"/>
      <c r="F18" s="233"/>
      <c r="G18" s="1140"/>
      <c r="H18" s="1329"/>
      <c r="I18" s="1329"/>
      <c r="J18" s="1329"/>
      <c r="K18" s="1329"/>
      <c r="L18" s="1329"/>
      <c r="M18" s="1142"/>
      <c r="P18" s="47"/>
      <c r="Q18" s="47"/>
      <c r="R18" s="1"/>
      <c r="S18" s="1"/>
      <c r="T18" s="1"/>
      <c r="U18" s="1"/>
      <c r="V18" s="1"/>
      <c r="AA18" s="508" t="s">
        <v>61</v>
      </c>
      <c r="AB18" s="509" t="s">
        <v>648</v>
      </c>
    </row>
    <row r="19" spans="1:29" ht="15" customHeight="1" x14ac:dyDescent="0.25">
      <c r="A19" s="1290"/>
      <c r="B19" s="1291"/>
      <c r="C19" s="1291"/>
      <c r="D19" s="1291"/>
      <c r="E19" s="1292"/>
      <c r="F19" s="233"/>
      <c r="G19" s="1143"/>
      <c r="H19" s="1144"/>
      <c r="I19" s="1144"/>
      <c r="J19" s="1144"/>
      <c r="K19" s="1144"/>
      <c r="L19" s="1144"/>
      <c r="M19" s="1145"/>
      <c r="P19" s="47"/>
      <c r="Q19" s="47"/>
      <c r="R19" s="1"/>
      <c r="S19" s="1"/>
      <c r="T19" s="1"/>
      <c r="U19" s="1"/>
      <c r="V19" s="1"/>
      <c r="AA19" s="462" t="s">
        <v>54</v>
      </c>
      <c r="AB19" s="509" t="s">
        <v>700</v>
      </c>
    </row>
    <row r="20" spans="1:29" ht="15" customHeight="1" x14ac:dyDescent="0.25">
      <c r="A20" s="233"/>
      <c r="B20" s="340"/>
      <c r="C20" s="233"/>
      <c r="D20" s="366"/>
      <c r="E20" s="233"/>
      <c r="F20" s="233"/>
      <c r="G20" s="233"/>
      <c r="H20" s="233"/>
      <c r="I20" s="233"/>
      <c r="J20" s="219"/>
      <c r="K20" s="367"/>
      <c r="L20" s="1291"/>
      <c r="M20" s="1292"/>
      <c r="P20" s="47"/>
      <c r="Q20" s="47"/>
      <c r="R20" s="1"/>
      <c r="S20" s="1"/>
      <c r="T20" s="1"/>
      <c r="U20" s="1"/>
      <c r="V20" s="1"/>
      <c r="AA20" s="461">
        <v>25</v>
      </c>
      <c r="AB20" s="510">
        <f>AC$4+AB9</f>
        <v>92.56993674266856</v>
      </c>
    </row>
    <row r="21" spans="1:29" s="1" customFormat="1" ht="60.75" customHeight="1" thickBot="1" x14ac:dyDescent="0.3">
      <c r="A21" s="119" t="s">
        <v>39</v>
      </c>
      <c r="B21" s="120" t="s">
        <v>40</v>
      </c>
      <c r="C21" s="120" t="s">
        <v>479</v>
      </c>
      <c r="D21" s="311" t="s">
        <v>272</v>
      </c>
      <c r="E21" s="311" t="s">
        <v>43</v>
      </c>
      <c r="F21" s="120" t="s">
        <v>273</v>
      </c>
      <c r="G21" s="1212" t="s">
        <v>416</v>
      </c>
      <c r="H21" s="1212"/>
      <c r="I21" s="120" t="s">
        <v>45</v>
      </c>
      <c r="J21" s="312" t="s">
        <v>271</v>
      </c>
      <c r="K21" s="120" t="s">
        <v>47</v>
      </c>
      <c r="L21" s="120" t="s">
        <v>270</v>
      </c>
      <c r="M21" s="317" t="s">
        <v>415</v>
      </c>
      <c r="P21" s="47"/>
      <c r="Q21" s="47"/>
      <c r="AA21" s="461">
        <v>50</v>
      </c>
      <c r="AB21" s="510">
        <f t="shared" ref="AB21:AB25" si="4">AC$4+AB10</f>
        <v>96.564058591428505</v>
      </c>
      <c r="AC21"/>
    </row>
    <row r="22" spans="1:29" s="1" customFormat="1" ht="48.75" thickBot="1" x14ac:dyDescent="0.3">
      <c r="A22" s="545" t="s">
        <v>76</v>
      </c>
      <c r="B22" s="102" t="s">
        <v>228</v>
      </c>
      <c r="C22" s="259" t="str">
        <f>VLOOKUP($B22,Activities!$A$10:$P$152,3,FALSE)</f>
        <v>Disconnection of Services to Area</v>
      </c>
      <c r="D22" s="239" t="s">
        <v>49</v>
      </c>
      <c r="E22" s="320"/>
      <c r="F22" s="246" t="str">
        <f>VLOOKUP($B22,Activities!$A$10:$P$152,4,FALSE)</f>
        <v>Item</v>
      </c>
      <c r="G22" s="1269"/>
      <c r="H22" s="1270"/>
      <c r="I22" s="273">
        <f>VLOOKUP($B22,Activities!$A$10:$S$152,16,FALSE)</f>
        <v>3678.6008957627482</v>
      </c>
      <c r="J22" s="269"/>
      <c r="K22" s="388">
        <f t="shared" ref="K22" si="5">IF(D22="Y",IF(J22="",I22*E22,J22*E22),0)</f>
        <v>0</v>
      </c>
      <c r="L22" s="248" t="str">
        <f>IFERROR(IF(D22="Y",K22/$K$52,0%),"0.0%")</f>
        <v>0.0%</v>
      </c>
      <c r="M22" s="290" t="str">
        <f>VLOOKUP($B22,Activities!$A$10:$S$152,19,FALSE)</f>
        <v>This Activity includes disconnecting and terminating all services such as power, water and sewer.  It covers the disconnection costs for an area.  Within a mine site there may be a number of areas which need to have services disconnected.</v>
      </c>
      <c r="P22" s="47"/>
      <c r="Q22" s="47"/>
      <c r="AA22" s="461">
        <v>100</v>
      </c>
      <c r="AB22" s="510">
        <f t="shared" si="4"/>
        <v>104.55230228894837</v>
      </c>
      <c r="AC22"/>
    </row>
    <row r="23" spans="1:29" s="1" customFormat="1" ht="18" customHeight="1" thickBot="1" x14ac:dyDescent="0.35">
      <c r="A23" s="21" t="s">
        <v>53</v>
      </c>
      <c r="B23" s="112" t="str">
        <f>A22</f>
        <v>Preliminaries</v>
      </c>
      <c r="C23" s="103"/>
      <c r="D23" s="24"/>
      <c r="E23" s="25"/>
      <c r="F23" s="24"/>
      <c r="G23" s="24"/>
      <c r="H23" s="24"/>
      <c r="I23" s="26"/>
      <c r="J23" s="27"/>
      <c r="K23" s="28">
        <f>SUM(K22:K22)</f>
        <v>0</v>
      </c>
      <c r="L23" s="24"/>
      <c r="M23" s="43"/>
      <c r="P23" s="546"/>
      <c r="Q23" s="234"/>
      <c r="R23" s="233"/>
      <c r="S23" s="233"/>
      <c r="T23" s="233"/>
      <c r="U23" s="233"/>
      <c r="V23" s="233"/>
      <c r="AA23" s="461">
        <v>200</v>
      </c>
      <c r="AB23" s="510">
        <f t="shared" si="4"/>
        <v>120.52878968398809</v>
      </c>
    </row>
    <row r="24" spans="1:29" s="1" customFormat="1" ht="48.75" thickBot="1" x14ac:dyDescent="0.3">
      <c r="A24" s="1132" t="s">
        <v>879</v>
      </c>
      <c r="B24" s="102" t="s">
        <v>252</v>
      </c>
      <c r="C24" s="259" t="str">
        <f>VLOOKUP($B24,Activities!$A$10:$P$152,3,FALSE)</f>
        <v>Demolition of Industrial and Other buildings and remove waste to designated dump on site.</v>
      </c>
      <c r="D24" s="239" t="s">
        <v>49</v>
      </c>
      <c r="E24" s="320"/>
      <c r="F24" s="246" t="str">
        <f>VLOOKUP($B24,Activities!$A$10:$P$152,4,FALSE)</f>
        <v>m2</v>
      </c>
      <c r="G24" s="1269"/>
      <c r="H24" s="1270"/>
      <c r="I24" s="273">
        <f>VLOOKUP($B24,Activities!$A$10:$S$152,16,FALSE)</f>
        <v>62.958526402902507</v>
      </c>
      <c r="J24" s="269"/>
      <c r="K24" s="388">
        <f t="shared" ref="K24:K28" si="6">IF(D24="Y",IF(J24="",I24*E24,J24*E24),0)</f>
        <v>0</v>
      </c>
      <c r="L24" s="248" t="str">
        <f>IFERROR(IF(D24="Y",K24/$K$52,0%),"0.0%")</f>
        <v>0.0%</v>
      </c>
      <c r="M24" s="290" t="str">
        <f>VLOOKUP($B24,Activities!$A$10:$S$152,19,FALSE)</f>
        <v xml:space="preserve">This activity covers the demolition of industrial and other buildings (up to 5 levels) on the site that are not salvageable or removed from the site.  The buildings are demolished and transported to a designated dump on the mine site. </v>
      </c>
      <c r="P24" s="544" t="str">
        <f>B29</f>
        <v>A1110</v>
      </c>
      <c r="Q24" s="1378" t="s">
        <v>644</v>
      </c>
      <c r="R24" s="1379"/>
      <c r="S24" s="1379"/>
      <c r="T24" s="1379"/>
      <c r="U24" s="1379"/>
      <c r="V24" s="1380"/>
      <c r="AA24" s="461">
        <v>300</v>
      </c>
      <c r="AB24" s="510">
        <f t="shared" si="4"/>
        <v>136.50527707902785</v>
      </c>
    </row>
    <row r="25" spans="1:29" ht="60.75" thickBot="1" x14ac:dyDescent="0.3">
      <c r="A25" s="1133"/>
      <c r="B25" s="104" t="s">
        <v>623</v>
      </c>
      <c r="C25" s="259" t="str">
        <f>VLOOKUP($B25,Activities!$A$10:$P$152,3,FALSE)</f>
        <v>Remove rail loop and spur, sleepers, ballast etc. and dispose on-site</v>
      </c>
      <c r="D25" s="239" t="s">
        <v>49</v>
      </c>
      <c r="E25" s="320"/>
      <c r="F25" s="246" t="str">
        <f>VLOOKUP($B25,Activities!$A$10:$P$152,4,FALSE)</f>
        <v>lin m</v>
      </c>
      <c r="G25" s="1269"/>
      <c r="H25" s="1270"/>
      <c r="I25" s="273">
        <f>VLOOKUP($B25,Activities!$A$10:$S$152,16,FALSE)</f>
        <v>64.102773189672803</v>
      </c>
      <c r="J25" s="269"/>
      <c r="K25" s="388">
        <f t="shared" si="6"/>
        <v>0</v>
      </c>
      <c r="L25" s="248" t="str">
        <f>IFERROR(IF(D25="Y",K25/$K$52,0%),"0.0%")</f>
        <v>0.0%</v>
      </c>
      <c r="M25" s="290" t="str">
        <f>VLOOKUP($B25,Activities!$A$10:$S$152,19,FALSE)</f>
        <v>This activity covers the demolition and removal of track, sleepers &amp; ballast removal only and disposal on site. (Excludes decommissioning, signalling, OHL, earthworks, bridges, junctions and level crossings).  All materials removed to allow area to be reshaped and rehabilitated - does not include transport and disposal costs to approved disposal facility.</v>
      </c>
      <c r="P25" s="543" t="s">
        <v>649</v>
      </c>
      <c r="Q25" s="547"/>
      <c r="R25" s="547" t="s">
        <v>650</v>
      </c>
      <c r="S25" s="547"/>
      <c r="T25" s="547" t="s">
        <v>648</v>
      </c>
      <c r="U25" s="547"/>
      <c r="V25" s="548"/>
      <c r="AA25" s="461">
        <v>400</v>
      </c>
      <c r="AB25" s="510">
        <f t="shared" si="4"/>
        <v>152.48176447406757</v>
      </c>
      <c r="AC25" s="1"/>
    </row>
    <row r="26" spans="1:29" ht="75.75" customHeight="1" thickBot="1" x14ac:dyDescent="0.3">
      <c r="A26" s="1133"/>
      <c r="B26" s="102" t="s">
        <v>624</v>
      </c>
      <c r="C26" s="259" t="str">
        <f>VLOOKUP($B26,Activities!$A$10:$P$152,3,FALSE)</f>
        <v>Remove train loading facilities and dispose on-site</v>
      </c>
      <c r="D26" s="239" t="s">
        <v>49</v>
      </c>
      <c r="E26" s="320"/>
      <c r="F26" s="246" t="str">
        <f>VLOOKUP($B26,Activities!$A$10:$P$152,4,FALSE)</f>
        <v>m2</v>
      </c>
      <c r="G26" s="1269"/>
      <c r="H26" s="1270"/>
      <c r="I26" s="273">
        <f>VLOOKUP($B26,Activities!$A$10:$S$152,16,FALSE)</f>
        <v>296.60654031160681</v>
      </c>
      <c r="J26" s="269"/>
      <c r="K26" s="388">
        <f t="shared" si="6"/>
        <v>0</v>
      </c>
      <c r="L26" s="248" t="str">
        <f>IFERROR(IF(D26="Y",K26/$K$52,0%),"0.0%")</f>
        <v>0.0%</v>
      </c>
      <c r="M26" s="290" t="str">
        <f>VLOOKUP($B26,Activities!$A$10:$S$152,19,FALSE)</f>
        <v>This activity includes the removal of rail loading infrastructure including gantries and control structures and disposal on site - does not include transport and disposal costs to approved disposal facility.</v>
      </c>
      <c r="P26" s="71" t="s">
        <v>645</v>
      </c>
      <c r="Q26" s="358">
        <f>VLOOKUP(P$24,Activities!A10:Q152,16,FALSE)</f>
        <v>95.797446129289725</v>
      </c>
      <c r="R26" s="358">
        <v>1.83</v>
      </c>
      <c r="S26" s="358"/>
      <c r="T26" s="392">
        <f>Q26*R26</f>
        <v>175.30932641660021</v>
      </c>
      <c r="U26" s="45" t="str">
        <f>P26</f>
        <v>&lt;50m3</v>
      </c>
      <c r="V26" s="393">
        <f>T26</f>
        <v>175.30932641660021</v>
      </c>
      <c r="AA26" s="233" t="s">
        <v>264</v>
      </c>
      <c r="AC26" s="1"/>
    </row>
    <row r="27" spans="1:29" ht="53.25" customHeight="1" thickBot="1" x14ac:dyDescent="0.3">
      <c r="A27" s="1133"/>
      <c r="B27" s="104" t="s">
        <v>625</v>
      </c>
      <c r="C27" s="259" t="str">
        <f>VLOOKUP($B27,Activities!$A$10:$P$152,3,FALSE)</f>
        <v>Reshape rail spur and load out areas - does not include revegetation</v>
      </c>
      <c r="D27" s="239" t="s">
        <v>49</v>
      </c>
      <c r="E27" s="320"/>
      <c r="F27" s="246" t="str">
        <f>VLOOKUP($B27,Activities!$A$10:$P$152,4,FALSE)</f>
        <v>Ha</v>
      </c>
      <c r="G27" s="1269"/>
      <c r="H27" s="1270"/>
      <c r="I27" s="273">
        <f>VLOOKUP($B27,Activities!$A$10:$S$152,16,FALSE)</f>
        <v>2966.0274944705643</v>
      </c>
      <c r="J27" s="269"/>
      <c r="K27" s="388">
        <f t="shared" si="6"/>
        <v>0</v>
      </c>
      <c r="L27" s="248" t="str">
        <f>IFERROR(IF(D27="Y",K27/$K$52,0%),"0.0%")</f>
        <v>0.0%</v>
      </c>
      <c r="M27" s="290" t="str">
        <f>VLOOKUP($B27,Activities!$A$10:$S$152,19,FALSE)</f>
        <v>This activity includes the levelling and shaping of the disturbed rail corridor by D11 Dozer and the final shaping by grader.</v>
      </c>
      <c r="P27" s="71" t="s">
        <v>646</v>
      </c>
      <c r="Q27" s="358">
        <f>VLOOKUP(P$24,Activities!A11:Q153,16,FALSE)</f>
        <v>95.797446129289725</v>
      </c>
      <c r="R27" s="358">
        <v>1.47</v>
      </c>
      <c r="S27" s="358"/>
      <c r="T27" s="392">
        <f t="shared" ref="T27:T29" si="7">Q27*R27</f>
        <v>140.8222458100559</v>
      </c>
      <c r="U27" s="45" t="str">
        <f t="shared" ref="U27:U29" si="8">P27</f>
        <v>&gt;50m3 &lt;100m3</v>
      </c>
      <c r="V27" s="393">
        <f>T27</f>
        <v>140.8222458100559</v>
      </c>
    </row>
    <row r="28" spans="1:29" ht="79.5" thickBot="1" x14ac:dyDescent="0.3">
      <c r="A28" s="1133"/>
      <c r="B28" s="104" t="s">
        <v>242</v>
      </c>
      <c r="C28" s="259" t="str">
        <f>VLOOKUP($B28,Activities!$A$10:$P$152,3,FALSE)</f>
        <v xml:space="preserve">Excavation of contaminated materials (earthen materials contaminated by metals, hydrocarbons, putrescible waste management etc) </v>
      </c>
      <c r="D28" s="239" t="s">
        <v>49</v>
      </c>
      <c r="E28" s="320"/>
      <c r="F28" s="246" t="str">
        <f>VLOOKUP($B28,Activities!$A$10:$P$152,4,FALSE)</f>
        <v>m3</v>
      </c>
      <c r="G28" s="1269"/>
      <c r="H28" s="1270"/>
      <c r="I28" s="273">
        <f>VLOOKUP($B28,Activities!$A$10:$S$152,16,FALSE)</f>
        <v>3.7375919690128194</v>
      </c>
      <c r="J28" s="269"/>
      <c r="K28" s="388">
        <f t="shared" si="6"/>
        <v>0</v>
      </c>
      <c r="L28" s="248" t="str">
        <f>IFERROR(IF(D28="Y",K28/$K$52,0%),"0.0%")</f>
        <v>0.0%</v>
      </c>
      <c r="M28" s="290" t="str">
        <f>VLOOKUP($B28,Activities!$A$10:$S$152,19,FALSE)</f>
        <v>This assumes material can be removed to an approved dump on the mine site.  If such material needs to be transported off site, a separate quotation should be obtained for this activity.</v>
      </c>
      <c r="P28" s="71" t="s">
        <v>653</v>
      </c>
      <c r="Q28" s="358">
        <f>VLOOKUP(P$24,Activities!A12:Q154,16,FALSE)</f>
        <v>95.797446129289725</v>
      </c>
      <c r="R28" s="358">
        <v>1.1000000000000001</v>
      </c>
      <c r="S28" s="358"/>
      <c r="T28" s="392">
        <f t="shared" si="7"/>
        <v>105.3771907422187</v>
      </c>
      <c r="U28" s="45" t="str">
        <f t="shared" si="8"/>
        <v>&gt;100m3 &lt;500m3</v>
      </c>
      <c r="V28" s="393">
        <f>T28</f>
        <v>105.3771907422187</v>
      </c>
    </row>
    <row r="29" spans="1:29" ht="48.75" thickBot="1" x14ac:dyDescent="0.3">
      <c r="A29" s="1133"/>
      <c r="B29" s="245" t="s">
        <v>720</v>
      </c>
      <c r="C29" s="259" t="str">
        <f>VLOOKUP($B29,Activities!$A$10:$P$152,3,FALSE)</f>
        <v>Onsite remediation of hydrocarbon contaminated soils manual land farming</v>
      </c>
      <c r="D29" s="239" t="s">
        <v>49</v>
      </c>
      <c r="E29" s="320"/>
      <c r="F29" s="246" t="str">
        <f>VLOOKUP($B29,Activities!$A$10:$P$152,4,FALSE)</f>
        <v>m3</v>
      </c>
      <c r="G29" s="313" t="s">
        <v>652</v>
      </c>
      <c r="H29" s="167" t="s">
        <v>651</v>
      </c>
      <c r="I29" s="350">
        <f>VLOOKUP(H29,U26:V30,2)</f>
        <v>0</v>
      </c>
      <c r="J29" s="269"/>
      <c r="K29" s="388">
        <f t="shared" ref="K29" si="9">IF(D29="Y",IF(J29="",I29*E29,J29*E29),"")</f>
        <v>0</v>
      </c>
      <c r="L29" s="248" t="str">
        <f>IFERROR(IF(D29="Y",K29/$K$62,0%),"0.0%")</f>
        <v>0.0%</v>
      </c>
      <c r="M29" s="290" t="str">
        <f>VLOOKUP($B29,Activities!$A$10:$S$152,19,FALSE)</f>
        <v>Spreading of contaminated soils on a prepared surface and stimulation of aerobic microbial activity within the soils through aeration and/or the addition of minerals, nutrients and moisture to promote the aerobic degradation of organic chemicals - time frame of up to 24 months.</v>
      </c>
      <c r="P29" s="71" t="s">
        <v>647</v>
      </c>
      <c r="Q29" s="358">
        <f>VLOOKUP(P$24,Activities!A13:Q155,16,FALSE)</f>
        <v>95.797446129289725</v>
      </c>
      <c r="R29" s="358">
        <v>1</v>
      </c>
      <c r="S29" s="358"/>
      <c r="T29" s="392">
        <f t="shared" si="7"/>
        <v>95.797446129289725</v>
      </c>
      <c r="U29" s="45" t="str">
        <f t="shared" si="8"/>
        <v>&gt;500m3</v>
      </c>
      <c r="V29" s="393">
        <f>T29</f>
        <v>95.797446129289725</v>
      </c>
    </row>
    <row r="30" spans="1:29" ht="48" customHeight="1" thickBot="1" x14ac:dyDescent="0.3">
      <c r="A30" s="1133"/>
      <c r="B30" s="104" t="s">
        <v>727</v>
      </c>
      <c r="C30" s="259" t="str">
        <f>VLOOKUP($B30,Activities!$A$10:$P$152,3,FALSE)</f>
        <v>Load, cart and dispose of High Level contaminated material off site to licenced landfill</v>
      </c>
      <c r="D30" s="239" t="s">
        <v>49</v>
      </c>
      <c r="E30" s="320"/>
      <c r="F30" s="246" t="str">
        <f>VLOOKUP($B30,Activities!$A$10:$P$152,4,FALSE)</f>
        <v>m3</v>
      </c>
      <c r="G30" s="313" t="s">
        <v>51</v>
      </c>
      <c r="H30" s="167" t="s">
        <v>264</v>
      </c>
      <c r="I30" s="272">
        <f>VLOOKUP(H30,AL9:AM15,2)</f>
        <v>0</v>
      </c>
      <c r="J30" s="269"/>
      <c r="K30" s="388">
        <f>IF(D30="Y",IF(H30="Select Distance",0,IF(J30="",(I30+AN4)*E30,(J30+AN4)*E30)),0)</f>
        <v>0</v>
      </c>
      <c r="L30" s="248" t="str">
        <f>IFERROR(IF(D30="Y",K30/$K$52,0%),"0.0%")</f>
        <v>0.0%</v>
      </c>
      <c r="M30" s="290" t="str">
        <f>VLOOKUP($B30,Activities!$A$10:$S$152,19,FALSE)</f>
        <v>Load, cart and dispose of High Level contaminated material off site to licenced landfill. Assumes loading of semi trailer on site, cartage to a licenced landfill and payment of dump costs.</v>
      </c>
      <c r="P30" s="399"/>
      <c r="Q30" s="400"/>
      <c r="R30" s="400"/>
      <c r="S30" s="400"/>
      <c r="T30" s="400"/>
      <c r="U30" s="400" t="s">
        <v>651</v>
      </c>
      <c r="V30" s="401"/>
    </row>
    <row r="31" spans="1:29" ht="52.5" customHeight="1" thickBot="1" x14ac:dyDescent="0.3">
      <c r="A31" s="1133"/>
      <c r="B31" s="104" t="s">
        <v>729</v>
      </c>
      <c r="C31" s="259" t="str">
        <f>VLOOKUP($B31,Activities!$A$10:$P$152,3,FALSE)</f>
        <v>Load, cart and dispose of Low Level contaminated material off site to licenced landfill</v>
      </c>
      <c r="D31" s="239" t="s">
        <v>49</v>
      </c>
      <c r="E31" s="320"/>
      <c r="F31" s="246" t="str">
        <f>VLOOKUP($B31,Activities!$A$10:$P$152,4,FALSE)</f>
        <v>m3</v>
      </c>
      <c r="G31" s="313" t="s">
        <v>51</v>
      </c>
      <c r="H31" s="167" t="s">
        <v>264</v>
      </c>
      <c r="I31" s="272">
        <f>VLOOKUP(H31,AS9:AT15,2)</f>
        <v>0</v>
      </c>
      <c r="J31" s="269"/>
      <c r="K31" s="388">
        <f>IF(D31="Y",IF(H31="Select Distance",0,IF(J31="",(I31+AS4)*E31,(J31+AS4)*E31)),0)</f>
        <v>0</v>
      </c>
      <c r="L31" s="248" t="str">
        <f>IFERROR(IF(D31="Y",K31/$K$52,0%),"0.0%")</f>
        <v>0.0%</v>
      </c>
      <c r="M31" s="290" t="str">
        <f>VLOOKUP($B31,Activities!$A$10:$S$152,19,FALSE)</f>
        <v>Load, cart and dispose of Low Level contaminated material off site to licenced landfill. Assumes loading of semi trailer on site, cartage to a licenced landfill and payment of dump costs.</v>
      </c>
    </row>
    <row r="32" spans="1:29" ht="52.5" customHeight="1" thickBot="1" x14ac:dyDescent="0.3">
      <c r="A32" s="1133"/>
      <c r="B32" s="245" t="s">
        <v>395</v>
      </c>
      <c r="C32" s="259" t="str">
        <f>VLOOKUP($B32,Activities!$A$10:$P$152,3,FALSE)</f>
        <v>Load and Remove Rubbish and/or waste from the site to an external dump</v>
      </c>
      <c r="D32" s="239" t="s">
        <v>49</v>
      </c>
      <c r="E32" s="320"/>
      <c r="F32" s="246" t="str">
        <f>VLOOKUP($B32,Activities!$A$10:$P$152,4,FALSE)</f>
        <v>m3</v>
      </c>
      <c r="G32" s="313" t="s">
        <v>940</v>
      </c>
      <c r="H32" s="167" t="s">
        <v>264</v>
      </c>
      <c r="I32" s="350">
        <f>VLOOKUP(H32,AA20:AB26,2)</f>
        <v>0</v>
      </c>
      <c r="J32" s="269"/>
      <c r="K32" s="388">
        <f t="shared" ref="K32" si="10">IF(D32="Y",IF(J32="",I32*E32,J32*E32),"")</f>
        <v>0</v>
      </c>
      <c r="L32" s="248" t="str">
        <f>IFERROR(IF(D32="Y",K32/$K$62,0%),"0.0%")</f>
        <v>0.0%</v>
      </c>
      <c r="M32" s="290" t="str">
        <f>VLOOKUP($B32,Activities!$A$10:$S$152,19,FALSE)</f>
        <v>This activity covers the situation when waste and rubbish needs to be fully collected and removed from the site and it is not possible to dispose of it on site.</v>
      </c>
    </row>
    <row r="33" spans="1:26" ht="48" thickBot="1" x14ac:dyDescent="0.3">
      <c r="A33" s="1134"/>
      <c r="B33" s="480"/>
      <c r="C33" s="271" t="s">
        <v>353</v>
      </c>
      <c r="D33" s="239" t="s">
        <v>49</v>
      </c>
      <c r="E33" s="346"/>
      <c r="F33" s="296"/>
      <c r="G33" s="1269"/>
      <c r="H33" s="1270"/>
      <c r="I33" s="355" t="s">
        <v>475</v>
      </c>
      <c r="J33" s="269"/>
      <c r="K33" s="387">
        <f>IF(D33="Y",J33*E33,"")</f>
        <v>0</v>
      </c>
      <c r="L33" s="248" t="str">
        <f>IFERROR(IF(D33="Y",K33/$K$61,0%),"0.0%")</f>
        <v>0.0%</v>
      </c>
      <c r="M33" s="139" t="s">
        <v>68</v>
      </c>
    </row>
    <row r="34" spans="1:26" ht="15.75" thickBot="1" x14ac:dyDescent="0.3">
      <c r="A34" s="21" t="s">
        <v>53</v>
      </c>
      <c r="B34" s="112" t="str">
        <f>A24</f>
        <v>Demolition and Removal of Rail Infrastructure</v>
      </c>
      <c r="C34" s="103"/>
      <c r="D34" s="24"/>
      <c r="E34" s="25"/>
      <c r="F34" s="24"/>
      <c r="G34" s="24"/>
      <c r="H34" s="24"/>
      <c r="I34" s="26"/>
      <c r="J34" s="27"/>
      <c r="K34" s="28">
        <f>SUM(K24:K33)</f>
        <v>0</v>
      </c>
      <c r="L34" s="24"/>
      <c r="M34" s="43"/>
    </row>
    <row r="35" spans="1:26" ht="48.75" thickBot="1" x14ac:dyDescent="0.3">
      <c r="A35" s="1384" t="s">
        <v>880</v>
      </c>
      <c r="B35" s="86" t="s">
        <v>79</v>
      </c>
      <c r="C35" s="110" t="str">
        <f>VLOOKUP($B35,Activities!$A$10:$P$152,3,FALSE)</f>
        <v>Minor Shaping across a Dump or Disturbed Area</v>
      </c>
      <c r="D35" s="239" t="s">
        <v>49</v>
      </c>
      <c r="E35" s="346"/>
      <c r="F35" s="19" t="str">
        <f>VLOOKUP($B35,Activities!$A$10:$P$152,4,FALSE)</f>
        <v>Ha</v>
      </c>
      <c r="G35" s="1387"/>
      <c r="H35" s="1388"/>
      <c r="I35" s="350">
        <f>VLOOKUP($B35,Activities!$A$10:$S$152,16,FALSE)</f>
        <v>2987.2221197728068</v>
      </c>
      <c r="J35" s="269"/>
      <c r="K35" s="387">
        <f t="shared" ref="K35:K37" si="11">IF(D35="Y",IF(J35="",I35*E35,J35*E35),0)</f>
        <v>0</v>
      </c>
      <c r="L35" s="248" t="str">
        <f>IFERROR(IF(D35="Y",K35/$K$52,0%),"0.0%")</f>
        <v>0.0%</v>
      </c>
      <c r="M35" s="290" t="str">
        <f>VLOOKUP($B35,Activities!$A$10:$S$152,19,FALSE)</f>
        <v xml:space="preserve">This activity covers minor shaping shifting pushing across a dump or disturbed area.  It is based on a rate per hectare.  It covers area where there needs to be some clearing work, tidying up of disturbed ground,  but not just bulk pushing </v>
      </c>
    </row>
    <row r="36" spans="1:26" ht="36.75" thickBot="1" x14ac:dyDescent="0.3">
      <c r="A36" s="1385"/>
      <c r="B36" s="245" t="s">
        <v>398</v>
      </c>
      <c r="C36" s="275" t="str">
        <f>VLOOKUP($B36,Activities!$A$10:$P$152,3,FALSE)</f>
        <v>Deep Ripping of Hardstand area for Rehabilitation</v>
      </c>
      <c r="D36" s="239" t="s">
        <v>49</v>
      </c>
      <c r="E36" s="607"/>
      <c r="F36" s="246" t="str">
        <f>VLOOKUP($B36,Activities!$A$10:$P$152,4,FALSE)</f>
        <v>Ha</v>
      </c>
      <c r="G36" s="1160"/>
      <c r="H36" s="1161"/>
      <c r="I36" s="272">
        <f>VLOOKUP($B36,Activities!$A$10:$S$152,16,FALSE)</f>
        <v>829.40192654187592</v>
      </c>
      <c r="J36" s="269"/>
      <c r="K36" s="390">
        <f t="shared" si="11"/>
        <v>0</v>
      </c>
      <c r="L36" s="248" t="str">
        <f>IFERROR(IF(D36="Y",K36/$K$52,0%),"0.0%")</f>
        <v>0.0%</v>
      </c>
      <c r="M36" s="290" t="str">
        <f>VLOOKUP($B36,Activities!$A$10:$S$152,19,FALSE)</f>
        <v>This activity covers the situation where a hard stand area needs to be deep ripped by a dozer or appropriate machine.  It may be required to key in materials or situations where the ground is heavily compacted.</v>
      </c>
    </row>
    <row r="37" spans="1:26" ht="60.75" thickBot="1" x14ac:dyDescent="0.3">
      <c r="A37" s="1385"/>
      <c r="B37" s="245" t="s">
        <v>251</v>
      </c>
      <c r="C37" s="275" t="str">
        <f>VLOOKUP($B37,Activities!$A$10:$P$152,3,FALSE)</f>
        <v>Scarification and ripping of Haul and Access Roads</v>
      </c>
      <c r="D37" s="239" t="s">
        <v>49</v>
      </c>
      <c r="E37" s="607"/>
      <c r="F37" s="246" t="str">
        <f>VLOOKUP($B37,Activities!$A$10:$P$152,4,FALSE)</f>
        <v>km</v>
      </c>
      <c r="G37" s="1160"/>
      <c r="H37" s="1161"/>
      <c r="I37" s="272">
        <f>VLOOKUP($B37,Activities!$A$10:$S$152,16,FALSE)</f>
        <v>817.62150792547607</v>
      </c>
      <c r="J37" s="269"/>
      <c r="K37" s="390">
        <f t="shared" si="11"/>
        <v>0</v>
      </c>
      <c r="L37" s="248" t="str">
        <f>IFERROR(IF(D37="Y",K37/$K$52,0%),"0.0%")</f>
        <v>0.0%</v>
      </c>
      <c r="M37" s="290" t="str">
        <f>VLOOKUP($B37,Activities!$A$10:$S$152,19,FALSE)</f>
        <v>This activity is specifically minor shaping and for the scarification and where necessary the deep ripping of Haul and Access roads to allow natural re-vegetation to occurr.   It is appropriate for access roads and tracks of a width of 5 metres and of minimal construction.  (Access to drill locations and minor areas) ( For major constructed haul roads  20m in width use A1039)</v>
      </c>
    </row>
    <row r="38" spans="1:26" ht="48" thickBot="1" x14ac:dyDescent="0.3">
      <c r="A38" s="1386"/>
      <c r="B38" s="479"/>
      <c r="C38" s="271" t="s">
        <v>300</v>
      </c>
      <c r="D38" s="239" t="s">
        <v>49</v>
      </c>
      <c r="E38" s="607"/>
      <c r="F38" s="296"/>
      <c r="G38" s="1160"/>
      <c r="H38" s="1161"/>
      <c r="I38" s="355" t="s">
        <v>475</v>
      </c>
      <c r="J38" s="269"/>
      <c r="K38" s="387">
        <f>IF(D38="Y",J38*E38,"")</f>
        <v>0</v>
      </c>
      <c r="L38" s="248" t="str">
        <f>IFERROR(IF(D38="Y",K38/$K$64,0%),"0.0%")</f>
        <v>0.0%</v>
      </c>
      <c r="M38" s="139" t="s">
        <v>56</v>
      </c>
    </row>
    <row r="39" spans="1:26" ht="15.75" thickBot="1" x14ac:dyDescent="0.3">
      <c r="A39" s="21" t="s">
        <v>53</v>
      </c>
      <c r="B39" s="112" t="str">
        <f>A35</f>
        <v>Earthworks Along the Rail Corridor</v>
      </c>
      <c r="C39" s="103"/>
      <c r="D39" s="24"/>
      <c r="E39" s="25"/>
      <c r="F39" s="24"/>
      <c r="G39" s="24"/>
      <c r="H39" s="24"/>
      <c r="I39" s="26"/>
      <c r="J39" s="27"/>
      <c r="K39" s="28">
        <f>SUM(K35:K38)</f>
        <v>0</v>
      </c>
      <c r="L39" s="24"/>
      <c r="M39" s="43"/>
    </row>
    <row r="40" spans="1:26" ht="42.75" thickBot="1" x14ac:dyDescent="0.3">
      <c r="A40" s="1381" t="s">
        <v>261</v>
      </c>
      <c r="B40" s="102" t="s">
        <v>17</v>
      </c>
      <c r="C40" s="259" t="str">
        <f>VLOOKUP($B40,Activities!$A$10:$P$152,3,FALSE)</f>
        <v xml:space="preserve">Excavation of earthen materials from local borrow pits, plus haulage </v>
      </c>
      <c r="D40" s="239" t="s">
        <v>49</v>
      </c>
      <c r="E40" s="240"/>
      <c r="F40" s="246" t="str">
        <f>VLOOKUP($B40,Activities!$A$10:$P$152,4,FALSE)</f>
        <v>m3</v>
      </c>
      <c r="G40" s="313" t="s">
        <v>51</v>
      </c>
      <c r="H40" s="167" t="s">
        <v>264</v>
      </c>
      <c r="I40" s="350">
        <f>VLOOKUP(H40,U3:V7,2)</f>
        <v>0</v>
      </c>
      <c r="J40" s="269"/>
      <c r="K40" s="387">
        <f>IF(D40="Y",IF(J40="",I40*E40,J40*E40),"")</f>
        <v>0</v>
      </c>
      <c r="L40" s="248" t="str">
        <f>IFERROR(IF(D40="Y",K40/$K$61,0%),"0.0%")</f>
        <v>0.0%</v>
      </c>
      <c r="M40" s="290" t="str">
        <f>VLOOKUP($B40,Activities!$A$10:$S$152,19,FALSE)</f>
        <v>This activity involves the excavation of earthern material from a local borrow pit and the loading of that material into a truck.  Haulage cost based on distance hauled.</v>
      </c>
      <c r="P40" s="15"/>
      <c r="Q40" s="15"/>
      <c r="R40" s="15"/>
      <c r="S40" s="15"/>
      <c r="T40" s="15"/>
      <c r="U40" s="15"/>
      <c r="V40" s="15"/>
    </row>
    <row r="41" spans="1:26" ht="42.75" thickBot="1" x14ac:dyDescent="0.3">
      <c r="A41" s="1382"/>
      <c r="B41" s="102" t="s">
        <v>70</v>
      </c>
      <c r="C41" s="259" t="str">
        <f>VLOOKUP($B41,Activities!$A$10:$P$152,3,FALSE)</f>
        <v>Sourcing, Carting and Spreading of Topsoil over an Area</v>
      </c>
      <c r="D41" s="239" t="s">
        <v>49</v>
      </c>
      <c r="E41" s="240"/>
      <c r="F41" s="246" t="str">
        <f>VLOOKUP($B41,Activities!$A$10:$P$152,4,FALSE)</f>
        <v>m3</v>
      </c>
      <c r="G41" s="313" t="s">
        <v>51</v>
      </c>
      <c r="H41" s="167" t="s">
        <v>264</v>
      </c>
      <c r="I41" s="350">
        <f>VLOOKUP(H41,U11:V15,2)</f>
        <v>0</v>
      </c>
      <c r="J41" s="269"/>
      <c r="K41" s="387">
        <f>IF(D41="Y",IF(J41="",I41*E41,J41*E41),"")</f>
        <v>0</v>
      </c>
      <c r="L41" s="248" t="str">
        <f>IFERROR(IF(D41="Y",K41/$K$61,0%),"0.0%")</f>
        <v>0.0%</v>
      </c>
      <c r="M41" s="290" t="str">
        <f>VLOOKUP($B41,Activities!$A$10:$S$152,19,FALSE)</f>
        <v>This activity covers the sourcing of topsoil or suitable growth medium, transporting from the source to the required area and then spreading it over that area.</v>
      </c>
      <c r="P41" s="15"/>
      <c r="Q41" s="15"/>
      <c r="R41" s="15"/>
      <c r="S41" s="15"/>
      <c r="T41" s="15"/>
      <c r="U41" s="15"/>
      <c r="V41" s="15"/>
    </row>
    <row r="42" spans="1:26" ht="48" thickBot="1" x14ac:dyDescent="0.3">
      <c r="A42" s="1382"/>
      <c r="B42" s="86" t="s">
        <v>18</v>
      </c>
      <c r="C42" s="259" t="str">
        <f>VLOOKUP($B42,Activities!$A$10:$P$152,3,FALSE)</f>
        <v>Spreading Materials on ground or an open area excluding compaction (&gt;1,000m3)</v>
      </c>
      <c r="D42" s="239" t="s">
        <v>49</v>
      </c>
      <c r="E42" s="240"/>
      <c r="F42" s="246" t="str">
        <f>VLOOKUP($B42,Activities!$A$10:$P$152,4,FALSE)</f>
        <v>m3</v>
      </c>
      <c r="G42" s="1269"/>
      <c r="H42" s="1270"/>
      <c r="I42" s="272">
        <f>VLOOKUP($B42,Activities!$A$10:$S$152,16,FALSE)</f>
        <v>1.0890037105820705</v>
      </c>
      <c r="J42" s="269"/>
      <c r="K42" s="388">
        <f t="shared" ref="K42:K53" si="12">IF(D42="Y",IF(J42="",I42*E42,J42*E42),0)</f>
        <v>0</v>
      </c>
      <c r="L42" s="248" t="str">
        <f t="shared" ref="L42:L53" si="13">IFERROR(IF(D42="Y",K42/$K$52,0%),"0.0%")</f>
        <v>0.0%</v>
      </c>
      <c r="M42" s="290" t="str">
        <f>VLOOKUP($B42,Activities!$A$10:$S$152,19,FALSE)</f>
        <v xml:space="preserve">This activity involves the spreading of material that has been transported and dumped at the work area. </v>
      </c>
      <c r="P42" s="15"/>
      <c r="Q42" s="15"/>
      <c r="R42" s="15"/>
      <c r="S42" s="15"/>
      <c r="T42" s="15"/>
      <c r="U42" s="15"/>
      <c r="V42" s="15"/>
    </row>
    <row r="43" spans="1:26" ht="55.5" customHeight="1" thickBot="1" x14ac:dyDescent="0.3">
      <c r="A43" s="1382"/>
      <c r="B43" s="245" t="s">
        <v>21</v>
      </c>
      <c r="C43" s="259" t="str">
        <f>VLOOKUP($B43,Activities!$A$10:$P$152,3,FALSE)</f>
        <v>Scarification to promote vegetation growth</v>
      </c>
      <c r="D43" s="239" t="s">
        <v>49</v>
      </c>
      <c r="E43" s="240"/>
      <c r="F43" s="246" t="str">
        <f>VLOOKUP($B43,Activities!$A$10:$P$152,4,FALSE)</f>
        <v>Ha</v>
      </c>
      <c r="G43" s="1269"/>
      <c r="H43" s="1270"/>
      <c r="I43" s="273">
        <f>VLOOKUP($B43,Activities!$A$10:$S$152,16,FALSE)</f>
        <v>323.54530924221694</v>
      </c>
      <c r="J43" s="269"/>
      <c r="K43" s="388">
        <f t="shared" si="12"/>
        <v>0</v>
      </c>
      <c r="L43" s="248" t="str">
        <f t="shared" si="13"/>
        <v>0.0%</v>
      </c>
      <c r="M43" s="290" t="str">
        <f>VLOOKUP($B43,Activities!$A$10:$S$152,19,FALSE)</f>
        <v xml:space="preserve">This activity is undertaken in preparation for the seeding of a particular area.  </v>
      </c>
      <c r="P43" s="15"/>
      <c r="Q43" s="15"/>
      <c r="R43" s="15"/>
      <c r="S43" s="15"/>
      <c r="T43" s="15"/>
      <c r="U43" s="15"/>
      <c r="V43" s="15"/>
    </row>
    <row r="44" spans="1:26" ht="59.25" customHeight="1" thickBot="1" x14ac:dyDescent="0.3">
      <c r="A44" s="1382"/>
      <c r="B44" s="245" t="s">
        <v>626</v>
      </c>
      <c r="C44" s="259" t="str">
        <f>VLOOKUP($B44,Activities!$A$10:$P$152,3,FALSE)</f>
        <v>Purchase and single application of ground ameliorants (e.g. gypsum)</v>
      </c>
      <c r="D44" s="239" t="s">
        <v>49</v>
      </c>
      <c r="E44" s="320"/>
      <c r="F44" s="246" t="str">
        <f>VLOOKUP($B44,Activities!$A$10:$P$152,4,FALSE)</f>
        <v>Ha</v>
      </c>
      <c r="G44" s="1269"/>
      <c r="H44" s="1270"/>
      <c r="I44" s="273">
        <f>VLOOKUP($B44,Activities!$A$10:$S$152,16,FALSE)</f>
        <v>877.38983538153695</v>
      </c>
      <c r="J44" s="269"/>
      <c r="K44" s="388">
        <f t="shared" si="12"/>
        <v>0</v>
      </c>
      <c r="L44" s="248" t="str">
        <f t="shared" si="13"/>
        <v>0.0%</v>
      </c>
      <c r="M44" s="290" t="str">
        <f>VLOOKUP($B44,Activities!$A$10:$S$152,19,FALSE)</f>
        <v>This Activity includes the purchase and single application of ground ameliorants (e.g. gypsum).</v>
      </c>
      <c r="P44" s="15"/>
      <c r="Q44" s="15"/>
      <c r="R44" s="15"/>
      <c r="S44" s="15"/>
      <c r="T44" s="15"/>
      <c r="U44" s="15"/>
      <c r="V44" s="15"/>
      <c r="Z44" s="116"/>
    </row>
    <row r="45" spans="1:26" ht="57.75" customHeight="1" thickBot="1" x14ac:dyDescent="0.3">
      <c r="A45" s="1382"/>
      <c r="B45" s="245" t="s">
        <v>627</v>
      </c>
      <c r="C45" s="259" t="str">
        <f>VLOOKUP($B45,Activities!$A$10:$P$152,3,FALSE)</f>
        <v>The purchase only of non-native pasture grasses</v>
      </c>
      <c r="D45" s="239" t="s">
        <v>49</v>
      </c>
      <c r="E45" s="320"/>
      <c r="F45" s="246" t="str">
        <f>VLOOKUP($B45,Activities!$A$10:$P$152,4,FALSE)</f>
        <v>Ha</v>
      </c>
      <c r="G45" s="1269"/>
      <c r="H45" s="1270"/>
      <c r="I45" s="273">
        <f>VLOOKUP($B45,Activities!$A$10:$S$152,16,FALSE)</f>
        <v>1774.5180283018869</v>
      </c>
      <c r="J45" s="269"/>
      <c r="K45" s="388">
        <f t="shared" si="12"/>
        <v>0</v>
      </c>
      <c r="L45" s="248" t="str">
        <f t="shared" si="13"/>
        <v>0.0%</v>
      </c>
      <c r="M45" s="290" t="str">
        <f>VLOOKUP($B45,Activities!$A$10:$S$152,19,FALSE)</f>
        <v>This activity covers the purchase of non-native pasture grasses</v>
      </c>
      <c r="P45" s="15"/>
      <c r="Q45" s="15"/>
      <c r="R45" s="15"/>
      <c r="S45" s="15"/>
      <c r="T45" s="15"/>
      <c r="U45" s="15"/>
      <c r="V45" s="15"/>
      <c r="Z45" s="116"/>
    </row>
    <row r="46" spans="1:26" ht="32.25" thickBot="1" x14ac:dyDescent="0.3">
      <c r="A46" s="1382"/>
      <c r="B46" s="245" t="s">
        <v>628</v>
      </c>
      <c r="C46" s="259" t="str">
        <f>VLOOKUP($B46,Activities!$A$10:$P$152,3,FALSE)</f>
        <v>The purchase only of general native seed mix</v>
      </c>
      <c r="D46" s="239" t="s">
        <v>49</v>
      </c>
      <c r="E46" s="320"/>
      <c r="F46" s="246" t="str">
        <f>VLOOKUP($B46,Activities!$A$10:$P$152,4,FALSE)</f>
        <v>Ha</v>
      </c>
      <c r="G46" s="1269"/>
      <c r="H46" s="1270"/>
      <c r="I46" s="273">
        <f>VLOOKUP($B46,Activities!$A$10:$S$152,16,FALSE)</f>
        <v>3439.8717452830197</v>
      </c>
      <c r="J46" s="269"/>
      <c r="K46" s="388">
        <f t="shared" si="12"/>
        <v>0</v>
      </c>
      <c r="L46" s="248" t="str">
        <f t="shared" si="13"/>
        <v>0.0%</v>
      </c>
      <c r="M46" s="290" t="str">
        <f>VLOOKUP($B46,Activities!$A$10:$S$152,19,FALSE)</f>
        <v>This activity covers the purchase of general native seed mix</v>
      </c>
      <c r="P46" s="15"/>
      <c r="Q46" s="15"/>
      <c r="R46" s="15"/>
      <c r="S46" s="15"/>
      <c r="T46" s="15"/>
      <c r="U46" s="15"/>
      <c r="V46" s="15"/>
      <c r="Z46" s="476"/>
    </row>
    <row r="47" spans="1:26" ht="32.25" thickBot="1" x14ac:dyDescent="0.3">
      <c r="A47" s="1382"/>
      <c r="B47" s="245" t="s">
        <v>629</v>
      </c>
      <c r="C47" s="259" t="str">
        <f>VLOOKUP($B47,Activities!$A$10:$P$152,3,FALSE)</f>
        <v>The purchase only of local provenance native seed mix</v>
      </c>
      <c r="D47" s="239" t="s">
        <v>49</v>
      </c>
      <c r="E47" s="320"/>
      <c r="F47" s="246" t="str">
        <f>VLOOKUP($B47,Activities!$A$10:$P$152,4,FALSE)</f>
        <v>Ha</v>
      </c>
      <c r="G47" s="1269"/>
      <c r="H47" s="1270"/>
      <c r="I47" s="273">
        <f>VLOOKUP($B47,Activities!$A$10:$S$152,16,FALSE)</f>
        <v>10525.680933962265</v>
      </c>
      <c r="J47" s="269"/>
      <c r="K47" s="388">
        <f t="shared" si="12"/>
        <v>0</v>
      </c>
      <c r="L47" s="248" t="str">
        <f t="shared" si="13"/>
        <v>0.0%</v>
      </c>
      <c r="M47" s="290" t="str">
        <f>VLOOKUP($B47,Activities!$A$10:$S$152,19,FALSE)</f>
        <v>This activity covers the purchase of local provenance native seed mix</v>
      </c>
      <c r="P47" s="15"/>
      <c r="Q47" s="540"/>
      <c r="R47" s="541"/>
      <c r="S47" s="542"/>
      <c r="T47" s="540"/>
      <c r="U47" s="15"/>
      <c r="V47" s="540"/>
      <c r="Z47" s="476"/>
    </row>
    <row r="48" spans="1:26" ht="32.25" thickBot="1" x14ac:dyDescent="0.3">
      <c r="A48" s="1382"/>
      <c r="B48" s="245" t="s">
        <v>630</v>
      </c>
      <c r="C48" s="259" t="str">
        <f>VLOOKUP($B48,Activities!$A$10:$P$152,3,FALSE)</f>
        <v>The purchase only of fertiliser for broadcast application</v>
      </c>
      <c r="D48" s="239" t="s">
        <v>49</v>
      </c>
      <c r="E48" s="320"/>
      <c r="F48" s="246" t="str">
        <f>VLOOKUP($B48,Activities!$A$10:$P$152,4,FALSE)</f>
        <v>Ha</v>
      </c>
      <c r="G48" s="1269"/>
      <c r="H48" s="1270"/>
      <c r="I48" s="273">
        <f>VLOOKUP($B48,Activities!$A$10:$S$152,16,FALSE)</f>
        <v>613.30500000000006</v>
      </c>
      <c r="J48" s="269"/>
      <c r="K48" s="388">
        <f t="shared" si="12"/>
        <v>0</v>
      </c>
      <c r="L48" s="248" t="str">
        <f t="shared" si="13"/>
        <v>0.0%</v>
      </c>
      <c r="M48" s="290" t="str">
        <f>VLOOKUP($B48,Activities!$A$10:$S$152,19,FALSE)</f>
        <v>This activity covers the purchase of local fertiliser for broadcast application.  It does not inlcude the application.</v>
      </c>
      <c r="P48" s="15"/>
      <c r="Q48" s="540"/>
      <c r="R48" s="541"/>
      <c r="S48" s="542"/>
      <c r="T48" s="540"/>
      <c r="U48" s="15"/>
      <c r="V48" s="540"/>
      <c r="Z48" s="476"/>
    </row>
    <row r="49" spans="1:26" ht="32.25" thickBot="1" x14ac:dyDescent="0.3">
      <c r="A49" s="1382"/>
      <c r="B49" s="245" t="s">
        <v>631</v>
      </c>
      <c r="C49" s="259" t="str">
        <f>VLOOKUP($B49,Activities!$A$10:$P$152,3,FALSE)</f>
        <v>The purchase of native tubestock (including slow release fertiliser)</v>
      </c>
      <c r="D49" s="239" t="s">
        <v>49</v>
      </c>
      <c r="E49" s="320"/>
      <c r="F49" s="246" t="str">
        <f>VLOOKUP($B49,Activities!$A$10:$P$152,4,FALSE)</f>
        <v>Ha</v>
      </c>
      <c r="G49" s="1269"/>
      <c r="H49" s="1270"/>
      <c r="I49" s="273">
        <f>VLOOKUP($B49,Activities!$A$10:$S$152,16,FALSE)</f>
        <v>19729.952830188682</v>
      </c>
      <c r="J49" s="269"/>
      <c r="K49" s="388">
        <f t="shared" si="12"/>
        <v>0</v>
      </c>
      <c r="L49" s="248" t="str">
        <f t="shared" si="13"/>
        <v>0.0%</v>
      </c>
      <c r="M49" s="290" t="str">
        <f>VLOOKUP($B49,Activities!$A$10:$S$152,19,FALSE)</f>
        <v>The Activity includes the purchase of native tubestock (including slow release fertiliser).  It does not include planting.</v>
      </c>
      <c r="P49" s="47"/>
      <c r="Q49" s="47"/>
      <c r="R49" s="47"/>
      <c r="S49" s="47"/>
      <c r="T49" s="47"/>
      <c r="U49" s="47"/>
      <c r="V49" s="47"/>
      <c r="Z49" s="476"/>
    </row>
    <row r="50" spans="1:26" ht="36.75" thickBot="1" x14ac:dyDescent="0.3">
      <c r="A50" s="1382"/>
      <c r="B50" s="245" t="s">
        <v>632</v>
      </c>
      <c r="C50" s="259" t="str">
        <f>VLOOKUP($B50,Activities!$A$10:$P$152,3,FALSE)</f>
        <v>Direct seeding along rip line or mechanical broadcast seeding</v>
      </c>
      <c r="D50" s="239" t="s">
        <v>49</v>
      </c>
      <c r="E50" s="320"/>
      <c r="F50" s="246" t="str">
        <f>VLOOKUP($B50,Activities!$A$10:$P$152,4,FALSE)</f>
        <v>Ha</v>
      </c>
      <c r="G50" s="1269"/>
      <c r="H50" s="1270"/>
      <c r="I50" s="273">
        <f>VLOOKUP($B50,Activities!$A$10:$S$152,16,FALSE)</f>
        <v>2100.7838269402318</v>
      </c>
      <c r="J50" s="269"/>
      <c r="K50" s="388">
        <f t="shared" si="12"/>
        <v>0</v>
      </c>
      <c r="L50" s="248" t="str">
        <f t="shared" si="13"/>
        <v>0.0%</v>
      </c>
      <c r="M50" s="290" t="str">
        <f>VLOOKUP($B50,Activities!$A$10:$S$152,19,FALSE)</f>
        <v>Sowing of separately purchased seed and or fertiliser for broadcast application that involves scattering seed, by hand or mechanically, over a relatively large area.</v>
      </c>
      <c r="Z50" s="476"/>
    </row>
    <row r="51" spans="1:26" ht="36.75" thickBot="1" x14ac:dyDescent="0.3">
      <c r="A51" s="1382"/>
      <c r="B51" s="245" t="s">
        <v>633</v>
      </c>
      <c r="C51" s="259" t="str">
        <f>VLOOKUP($B51,Activities!$A$10:$P$152,3,FALSE)</f>
        <v>Hydromulching (does not include seed or fertiliser)</v>
      </c>
      <c r="D51" s="239" t="s">
        <v>49</v>
      </c>
      <c r="E51" s="240"/>
      <c r="F51" s="246" t="str">
        <f>VLOOKUP($B51,Activities!$A$10:$P$152,4,FALSE)</f>
        <v>Ha</v>
      </c>
      <c r="G51" s="1269"/>
      <c r="H51" s="1270"/>
      <c r="I51" s="273">
        <f>VLOOKUP($B51,Activities!$A$10:$S$152,16,FALSE)</f>
        <v>1583.2664818030244</v>
      </c>
      <c r="J51" s="269"/>
      <c r="K51" s="388">
        <f t="shared" si="12"/>
        <v>0</v>
      </c>
      <c r="L51" s="248" t="str">
        <f t="shared" si="13"/>
        <v>0.0%</v>
      </c>
      <c r="M51" s="290" t="str">
        <f>VLOOKUP($B51,Activities!$A$10:$S$152,19,FALSE)</f>
        <v>Hydromulching planting process that uses a slurry of seed and mulch. It is often used as an erosion control technique as an alternative to the traditional process of broadcasting or sowing dry seed.</v>
      </c>
      <c r="Z51" s="476"/>
    </row>
    <row r="52" spans="1:26" ht="32.25" thickBot="1" x14ac:dyDescent="0.3">
      <c r="A52" s="1382"/>
      <c r="B52" s="245" t="s">
        <v>717</v>
      </c>
      <c r="C52" s="259" t="str">
        <f>VLOOKUP($B52,Activities!$A$10:$P$152,3,FALSE)</f>
        <v>Planting of tubestock &lt;15cm (assumes 1,000 plants per hectare)</v>
      </c>
      <c r="D52" s="239" t="s">
        <v>49</v>
      </c>
      <c r="E52" s="240"/>
      <c r="F52" s="246" t="str">
        <f>VLOOKUP($B52,Activities!$A$10:$P$152,4,FALSE)</f>
        <v>Ha</v>
      </c>
      <c r="G52" s="1269"/>
      <c r="H52" s="1270"/>
      <c r="I52" s="273">
        <f>VLOOKUP($B52,Activities!$A$10:$S$152,16,FALSE)</f>
        <v>1714.118869047619</v>
      </c>
      <c r="J52" s="269"/>
      <c r="K52" s="388">
        <f t="shared" si="12"/>
        <v>0</v>
      </c>
      <c r="L52" s="248" t="str">
        <f t="shared" si="13"/>
        <v>0.0%</v>
      </c>
      <c r="M52" s="290" t="str">
        <f>VLOOKUP($B52,Activities!$A$10:$S$152,19,FALSE)</f>
        <v>This Activity covers the hand planting of tubestock plants across a broad area.</v>
      </c>
      <c r="Z52" s="476"/>
    </row>
    <row r="53" spans="1:26" ht="48.75" thickBot="1" x14ac:dyDescent="0.3">
      <c r="A53" s="1382"/>
      <c r="B53" s="245" t="s">
        <v>25</v>
      </c>
      <c r="C53" s="259" t="str">
        <f>VLOOKUP($B53,Activities!$A$10:$P$152,3,FALSE)</f>
        <v xml:space="preserve">Construction of a stock proof fence including appropriate gates </v>
      </c>
      <c r="D53" s="239" t="s">
        <v>49</v>
      </c>
      <c r="E53" s="240"/>
      <c r="F53" s="246" t="str">
        <f>VLOOKUP($B53,Activities!$A$10:$P$152,4,FALSE)</f>
        <v>km</v>
      </c>
      <c r="G53" s="1269"/>
      <c r="H53" s="1270"/>
      <c r="I53" s="273">
        <f>VLOOKUP($B53,Activities!$A$10:$S$152,16,FALSE)</f>
        <v>13302.992584007126</v>
      </c>
      <c r="J53" s="269"/>
      <c r="K53" s="388">
        <f t="shared" si="12"/>
        <v>0</v>
      </c>
      <c r="L53" s="248" t="str">
        <f t="shared" si="13"/>
        <v>0.0%</v>
      </c>
      <c r="M53" s="290" t="str">
        <f>VLOOKUP($B53,Activities!$A$10:$S$152,19,FALSE)</f>
        <v>This activity involves the construction of a stock proof fence to protect revegetation against stock and to provide an obstacle to persons to prevent inadvertant access.  It is not designed to prevent a person climbing over it.  It includes an allowance for gates.</v>
      </c>
      <c r="Z53" s="476"/>
    </row>
    <row r="54" spans="1:26" ht="32.25" thickBot="1" x14ac:dyDescent="0.3">
      <c r="A54" s="1383"/>
      <c r="B54" s="480"/>
      <c r="C54" s="271" t="s">
        <v>55</v>
      </c>
      <c r="D54" s="239" t="s">
        <v>49</v>
      </c>
      <c r="E54" s="346"/>
      <c r="F54" s="296"/>
      <c r="G54" s="1269"/>
      <c r="H54" s="1270"/>
      <c r="I54" s="355" t="s">
        <v>475</v>
      </c>
      <c r="J54" s="269"/>
      <c r="K54" s="387">
        <f>IF(D54="Y",J54*E54,"")</f>
        <v>0</v>
      </c>
      <c r="L54" s="248" t="str">
        <f>IFERROR(IF(D54="Y",K54/$K$61,0%),"0.0%")</f>
        <v>0.0%</v>
      </c>
      <c r="M54" s="139" t="s">
        <v>68</v>
      </c>
    </row>
    <row r="55" spans="1:26" ht="15.75" thickBot="1" x14ac:dyDescent="0.3">
      <c r="A55" s="21" t="s">
        <v>53</v>
      </c>
      <c r="B55" s="112" t="str">
        <f>A40</f>
        <v>Re-Vegetation of Area</v>
      </c>
      <c r="C55" s="103"/>
      <c r="D55" s="24"/>
      <c r="E55" s="25"/>
      <c r="F55" s="24"/>
      <c r="G55" s="24"/>
      <c r="H55" s="24"/>
      <c r="I55" s="26"/>
      <c r="J55" s="27"/>
      <c r="K55" s="28">
        <f>SUM(K40:K54)</f>
        <v>0</v>
      </c>
      <c r="L55" s="24"/>
      <c r="M55" s="43"/>
    </row>
    <row r="56" spans="1:26" ht="32.25" thickBot="1" x14ac:dyDescent="0.3">
      <c r="A56" s="1132" t="s">
        <v>529</v>
      </c>
      <c r="B56" s="480"/>
      <c r="C56" s="271" t="s">
        <v>55</v>
      </c>
      <c r="D56" s="239" t="s">
        <v>49</v>
      </c>
      <c r="E56" s="346"/>
      <c r="F56" s="296"/>
      <c r="G56" s="1269"/>
      <c r="H56" s="1270"/>
      <c r="I56" s="355" t="s">
        <v>475</v>
      </c>
      <c r="J56" s="269"/>
      <c r="K56" s="387">
        <f>IF(D56="Y",J56*E56,"")</f>
        <v>0</v>
      </c>
      <c r="L56" s="248" t="str">
        <f>IFERROR(IF(D56="Y",K56/$K$61,0%),"0.0%")</f>
        <v>0.0%</v>
      </c>
      <c r="M56" s="139" t="s">
        <v>68</v>
      </c>
    </row>
    <row r="57" spans="1:26" ht="32.25" thickBot="1" x14ac:dyDescent="0.3">
      <c r="A57" s="1133"/>
      <c r="B57" s="480"/>
      <c r="C57" s="271" t="s">
        <v>55</v>
      </c>
      <c r="D57" s="239" t="s">
        <v>49</v>
      </c>
      <c r="E57" s="346"/>
      <c r="F57" s="296"/>
      <c r="G57" s="1269"/>
      <c r="H57" s="1270"/>
      <c r="I57" s="355" t="s">
        <v>475</v>
      </c>
      <c r="J57" s="269"/>
      <c r="K57" s="387">
        <f>IF(D57="Y",J57*E57,"")</f>
        <v>0</v>
      </c>
      <c r="L57" s="248" t="str">
        <f>IFERROR(IF(D57="Y",K57/$K$61,0%),"0.0%")</f>
        <v>0.0%</v>
      </c>
      <c r="M57" s="139" t="s">
        <v>68</v>
      </c>
    </row>
    <row r="58" spans="1:26" ht="42.75" customHeight="1" thickBot="1" x14ac:dyDescent="0.3">
      <c r="A58" s="1134"/>
      <c r="B58" s="480"/>
      <c r="C58" s="271" t="s">
        <v>55</v>
      </c>
      <c r="D58" s="239" t="s">
        <v>49</v>
      </c>
      <c r="E58" s="346"/>
      <c r="F58" s="296"/>
      <c r="G58" s="1269"/>
      <c r="H58" s="1270"/>
      <c r="I58" s="355" t="s">
        <v>475</v>
      </c>
      <c r="J58" s="269"/>
      <c r="K58" s="387">
        <f>IF(D58="Y",J58*E58,"")</f>
        <v>0</v>
      </c>
      <c r="L58" s="248" t="str">
        <f>IFERROR(IF(D58="Y",K58/$K$61,0%),"0.0%")</f>
        <v>0.0%</v>
      </c>
      <c r="M58" s="139" t="s">
        <v>68</v>
      </c>
    </row>
    <row r="59" spans="1:26" ht="15.75" thickBot="1" x14ac:dyDescent="0.3">
      <c r="A59" s="21" t="s">
        <v>53</v>
      </c>
      <c r="B59" s="112" t="str">
        <f>A56</f>
        <v>Other Activities in  Area Specific to this Site</v>
      </c>
      <c r="C59" s="23"/>
      <c r="D59" s="24"/>
      <c r="E59" s="25"/>
      <c r="F59" s="24"/>
      <c r="G59" s="24"/>
      <c r="H59" s="24"/>
      <c r="I59" s="26"/>
      <c r="J59" s="27"/>
      <c r="K59" s="28">
        <f>SUM(K56:K58)</f>
        <v>0</v>
      </c>
      <c r="L59" s="24"/>
      <c r="M59" s="29"/>
    </row>
    <row r="60" spans="1:26" x14ac:dyDescent="0.25">
      <c r="A60" s="3"/>
      <c r="B60" s="481"/>
      <c r="C60" s="30"/>
      <c r="D60" s="9"/>
      <c r="E60" s="31"/>
      <c r="F60" s="9"/>
      <c r="G60" s="9"/>
      <c r="H60" s="9"/>
      <c r="I60" s="32"/>
      <c r="J60" s="2"/>
      <c r="K60" s="77"/>
      <c r="L60" s="9"/>
      <c r="M60" s="30"/>
    </row>
    <row r="61" spans="1:26" ht="21" x14ac:dyDescent="0.25">
      <c r="A61" s="3"/>
      <c r="B61" s="481"/>
      <c r="C61" s="30"/>
      <c r="D61" s="9"/>
      <c r="E61" s="31"/>
      <c r="F61" s="9"/>
      <c r="G61" s="9"/>
      <c r="H61" s="9"/>
      <c r="J61" s="34" t="s">
        <v>881</v>
      </c>
      <c r="K61" s="53">
        <f>K59+K55+K39+K34+K23</f>
        <v>0</v>
      </c>
      <c r="L61" s="9"/>
      <c r="M61" s="30"/>
    </row>
    <row r="62" spans="1:26" x14ac:dyDescent="0.25">
      <c r="A62" s="3"/>
      <c r="B62" s="481"/>
      <c r="C62" s="30"/>
      <c r="D62" s="9"/>
      <c r="E62" s="31"/>
      <c r="F62" s="9"/>
      <c r="G62" s="9"/>
      <c r="H62" s="9"/>
      <c r="I62" s="32"/>
      <c r="J62" s="2"/>
      <c r="K62" s="77"/>
      <c r="L62" s="9"/>
      <c r="M62" s="30"/>
    </row>
    <row r="63" spans="1:26" ht="27" customHeight="1" x14ac:dyDescent="0.25">
      <c r="A63" s="3"/>
      <c r="B63" s="481"/>
      <c r="C63" s="30"/>
      <c r="D63" s="9"/>
      <c r="E63" s="31"/>
      <c r="F63" s="9"/>
      <c r="G63" s="9"/>
      <c r="H63" s="9"/>
      <c r="I63" s="32"/>
      <c r="J63" s="2"/>
      <c r="K63" s="77"/>
      <c r="L63" s="9"/>
      <c r="M63" s="30"/>
    </row>
    <row r="64" spans="1:26" ht="27" customHeight="1" x14ac:dyDescent="0.25">
      <c r="A64" s="3"/>
      <c r="B64" s="481"/>
      <c r="C64" s="30"/>
      <c r="D64" s="9"/>
      <c r="E64" s="31"/>
      <c r="F64" s="9"/>
      <c r="G64" s="9"/>
      <c r="H64" s="9"/>
      <c r="I64" s="32"/>
      <c r="J64" s="2"/>
      <c r="K64" s="77"/>
      <c r="L64" s="9"/>
      <c r="M64" s="30"/>
    </row>
    <row r="65" spans="1:13" ht="27" customHeight="1" x14ac:dyDescent="0.25">
      <c r="A65" s="3"/>
      <c r="B65" s="481"/>
      <c r="C65" s="30"/>
      <c r="D65" s="9"/>
      <c r="E65" s="31"/>
      <c r="F65" s="9"/>
      <c r="G65" s="9"/>
      <c r="H65" s="9"/>
      <c r="I65" s="32"/>
      <c r="J65" s="2"/>
      <c r="K65" s="77"/>
      <c r="L65" s="9"/>
      <c r="M65" s="30"/>
    </row>
    <row r="66" spans="1:13" ht="15.75" x14ac:dyDescent="0.25">
      <c r="A66" s="3"/>
      <c r="B66" s="481"/>
      <c r="C66" s="30"/>
      <c r="D66" s="9"/>
      <c r="E66" s="54"/>
      <c r="F66" s="9"/>
      <c r="G66" s="9"/>
      <c r="H66" s="9"/>
      <c r="I66" s="32"/>
      <c r="J66" s="2"/>
      <c r="K66" s="77"/>
      <c r="L66" s="9"/>
      <c r="M66" s="30"/>
    </row>
    <row r="67" spans="1:13" x14ac:dyDescent="0.25">
      <c r="A67" s="3"/>
      <c r="B67" s="481"/>
      <c r="C67" s="30"/>
      <c r="D67" s="9"/>
      <c r="E67" s="31"/>
      <c r="F67" s="9"/>
      <c r="G67" s="9"/>
      <c r="H67" s="9"/>
      <c r="I67" s="32"/>
      <c r="J67" s="2"/>
      <c r="K67" s="77"/>
      <c r="L67" s="9"/>
      <c r="M67" s="30"/>
    </row>
    <row r="68" spans="1:13" x14ac:dyDescent="0.25">
      <c r="A68" s="3"/>
      <c r="B68" s="481"/>
      <c r="C68" s="30"/>
      <c r="D68" s="9"/>
      <c r="E68" s="31"/>
      <c r="F68" s="9"/>
      <c r="G68" s="9"/>
      <c r="H68" s="9"/>
      <c r="I68" s="32"/>
      <c r="J68" s="2"/>
      <c r="K68" s="77"/>
      <c r="L68" s="9"/>
      <c r="M68" s="30"/>
    </row>
    <row r="69" spans="1:13" x14ac:dyDescent="0.25">
      <c r="A69" s="3"/>
      <c r="B69" s="481"/>
      <c r="C69" s="30"/>
      <c r="D69" s="9"/>
      <c r="E69" s="31"/>
      <c r="F69" s="9"/>
      <c r="G69" s="9"/>
      <c r="H69" s="9"/>
      <c r="I69" s="32"/>
      <c r="J69" s="2"/>
      <c r="K69" s="77"/>
      <c r="L69" s="9"/>
      <c r="M69" s="30"/>
    </row>
    <row r="70" spans="1:13" x14ac:dyDescent="0.25">
      <c r="A70" s="3"/>
      <c r="B70" s="481"/>
      <c r="C70" s="30"/>
      <c r="D70" s="9"/>
      <c r="E70" s="31"/>
      <c r="F70" s="9"/>
      <c r="G70" s="9"/>
      <c r="H70" s="9"/>
      <c r="I70" s="32"/>
      <c r="J70" s="2"/>
      <c r="K70" s="77"/>
      <c r="L70" s="9"/>
      <c r="M70" s="30"/>
    </row>
    <row r="71" spans="1:13" x14ac:dyDescent="0.25">
      <c r="A71" s="3"/>
      <c r="B71" s="481"/>
      <c r="C71" s="30"/>
      <c r="D71" s="9"/>
      <c r="E71" s="31"/>
      <c r="F71" s="9"/>
      <c r="G71" s="9"/>
      <c r="H71" s="9"/>
      <c r="I71" s="32"/>
      <c r="J71" s="2"/>
      <c r="K71" s="77"/>
      <c r="L71" s="9"/>
      <c r="M71" s="30"/>
    </row>
    <row r="72" spans="1:13" x14ac:dyDescent="0.25">
      <c r="A72" s="3"/>
      <c r="B72" s="481"/>
      <c r="C72" s="30"/>
      <c r="D72" s="9"/>
      <c r="E72" s="31"/>
      <c r="F72" s="9"/>
      <c r="G72" s="9"/>
      <c r="H72" s="9"/>
      <c r="I72" s="32"/>
      <c r="J72" s="2"/>
      <c r="K72" s="77"/>
      <c r="L72" s="9"/>
      <c r="M72" s="30"/>
    </row>
    <row r="73" spans="1:13" x14ac:dyDescent="0.25">
      <c r="A73" s="3"/>
      <c r="B73" s="481"/>
      <c r="C73" s="30"/>
      <c r="D73" s="9"/>
      <c r="E73" s="9"/>
      <c r="F73" s="9"/>
      <c r="G73" s="9"/>
      <c r="H73" s="9"/>
      <c r="I73" s="32"/>
      <c r="J73" s="2"/>
      <c r="K73" s="77"/>
      <c r="L73" s="9"/>
      <c r="M73" s="30"/>
    </row>
    <row r="74" spans="1:13" x14ac:dyDescent="0.25">
      <c r="A74" s="3"/>
      <c r="B74" s="481"/>
      <c r="C74" s="30"/>
      <c r="D74" s="9"/>
      <c r="E74" s="9"/>
      <c r="F74" s="9"/>
      <c r="G74" s="9"/>
      <c r="H74" s="9"/>
      <c r="I74" s="32"/>
      <c r="J74" s="2"/>
      <c r="K74" s="77"/>
      <c r="L74" s="9"/>
      <c r="M74" s="30"/>
    </row>
    <row r="75" spans="1:13" x14ac:dyDescent="0.25">
      <c r="C75" s="30"/>
      <c r="D75" s="9"/>
      <c r="E75" s="9"/>
      <c r="F75" s="9"/>
      <c r="G75" s="9"/>
      <c r="H75" s="9"/>
      <c r="I75" s="32"/>
      <c r="J75" s="2"/>
      <c r="K75" s="9"/>
      <c r="L75" s="9"/>
      <c r="M75" s="30"/>
    </row>
    <row r="76" spans="1:13" x14ac:dyDescent="0.25">
      <c r="C76" s="30"/>
      <c r="D76" s="9"/>
      <c r="E76" s="9"/>
      <c r="F76" s="9"/>
      <c r="G76" s="9"/>
      <c r="H76" s="9"/>
      <c r="I76" s="32"/>
      <c r="J76" s="2"/>
      <c r="K76" s="9"/>
      <c r="L76" s="9"/>
      <c r="M76" s="30"/>
    </row>
    <row r="77" spans="1:13" x14ac:dyDescent="0.25">
      <c r="C77" s="30"/>
      <c r="D77" s="9"/>
      <c r="E77" s="9"/>
      <c r="F77" s="9"/>
      <c r="G77" s="9"/>
      <c r="H77" s="9"/>
      <c r="I77" s="9"/>
      <c r="J77" s="9"/>
      <c r="K77" s="9"/>
      <c r="L77" s="9"/>
      <c r="M77" s="30"/>
    </row>
    <row r="78" spans="1:13" x14ac:dyDescent="0.25">
      <c r="D78" s="9"/>
      <c r="E78" s="9"/>
      <c r="F78" s="9"/>
      <c r="G78" s="9"/>
      <c r="H78" s="9"/>
      <c r="I78" s="9"/>
      <c r="J78" s="9"/>
      <c r="K78" s="9"/>
      <c r="L78" s="9"/>
    </row>
    <row r="79" spans="1:13" x14ac:dyDescent="0.25">
      <c r="D79" s="9"/>
      <c r="E79" s="9"/>
      <c r="F79" s="9"/>
      <c r="G79" s="9"/>
      <c r="H79" s="9"/>
      <c r="I79" s="9"/>
      <c r="J79" s="9"/>
      <c r="K79" s="9"/>
      <c r="L79" s="9"/>
    </row>
    <row r="80" spans="1:13" x14ac:dyDescent="0.25">
      <c r="D80" s="9"/>
      <c r="E80" s="9"/>
      <c r="F80" s="9"/>
      <c r="G80" s="9"/>
      <c r="H80" s="9"/>
      <c r="I80" s="9"/>
      <c r="J80" s="9"/>
      <c r="K80" s="9"/>
      <c r="L80" s="9"/>
    </row>
    <row r="81" spans="4:12" x14ac:dyDescent="0.25">
      <c r="D81" s="9"/>
      <c r="E81" s="9"/>
      <c r="F81" s="9"/>
      <c r="G81" s="9"/>
      <c r="H81" s="9"/>
      <c r="I81" s="9"/>
      <c r="J81" s="9"/>
      <c r="K81" s="9"/>
      <c r="L81" s="9"/>
    </row>
    <row r="82" spans="4:12" x14ac:dyDescent="0.25">
      <c r="D82" s="9"/>
      <c r="E82" s="9"/>
      <c r="F82" s="9"/>
      <c r="G82" s="9"/>
      <c r="H82" s="9"/>
      <c r="I82" s="9"/>
      <c r="J82" s="9"/>
      <c r="K82" s="9"/>
      <c r="L82" s="9"/>
    </row>
    <row r="83" spans="4:12" x14ac:dyDescent="0.25">
      <c r="D83" s="9"/>
      <c r="E83" s="9"/>
      <c r="F83" s="9"/>
      <c r="G83" s="9"/>
      <c r="H83" s="9"/>
      <c r="I83" s="9"/>
      <c r="J83" s="9"/>
      <c r="K83" s="9"/>
      <c r="L83" s="9"/>
    </row>
    <row r="84" spans="4:12" x14ac:dyDescent="0.25">
      <c r="D84" s="9"/>
      <c r="E84" s="9"/>
      <c r="F84" s="9"/>
      <c r="G84" s="9"/>
      <c r="H84" s="9"/>
      <c r="I84" s="9"/>
      <c r="J84" s="9"/>
      <c r="K84" s="9"/>
      <c r="L84" s="9"/>
    </row>
    <row r="85" spans="4:12" x14ac:dyDescent="0.25">
      <c r="D85" s="9"/>
      <c r="E85" s="9"/>
      <c r="F85" s="9"/>
      <c r="G85" s="9"/>
      <c r="H85" s="9"/>
      <c r="I85" s="9"/>
      <c r="J85" s="9"/>
      <c r="K85" s="9"/>
      <c r="L85" s="9"/>
    </row>
    <row r="86" spans="4:12" x14ac:dyDescent="0.25">
      <c r="D86" s="9"/>
      <c r="E86" s="9"/>
      <c r="F86" s="9"/>
      <c r="G86" s="9"/>
      <c r="H86" s="9"/>
      <c r="I86" s="9"/>
      <c r="J86" s="9"/>
      <c r="K86" s="9"/>
      <c r="L86" s="9"/>
    </row>
    <row r="87" spans="4:12" x14ac:dyDescent="0.25">
      <c r="D87" s="9"/>
      <c r="E87" s="9"/>
      <c r="F87" s="9"/>
      <c r="G87" s="9"/>
      <c r="H87" s="9"/>
      <c r="I87" s="9"/>
      <c r="J87" s="9"/>
      <c r="K87" s="9"/>
      <c r="L87" s="9"/>
    </row>
    <row r="88" spans="4:12" x14ac:dyDescent="0.25">
      <c r="D88" s="9"/>
      <c r="E88" s="9"/>
      <c r="F88" s="9"/>
      <c r="G88" s="9"/>
      <c r="H88" s="9"/>
      <c r="I88" s="9"/>
      <c r="J88" s="9"/>
      <c r="K88" s="9"/>
      <c r="L88" s="9"/>
    </row>
    <row r="89" spans="4:12" x14ac:dyDescent="0.25">
      <c r="D89" s="9"/>
      <c r="E89" s="9"/>
      <c r="F89" s="9"/>
      <c r="G89" s="9"/>
      <c r="H89" s="9"/>
      <c r="I89" s="9"/>
      <c r="J89" s="9"/>
      <c r="K89" s="9"/>
      <c r="L89" s="9"/>
    </row>
  </sheetData>
  <sheetProtection algorithmName="SHA-512" hashValue="Cvynb+rlKjnUJ9irtROJ0N1dQxQFY5kG1+9AHORf63HSFV1GqO7qAlC3O8HRs/ZXfX8QeGGO+sp3d7mLK2Wouw==" saltValue="OUY4L9I0l+xfO8ikvRpr8g==" spinCount="100000" sheet="1" formatCells="0" formatRows="0" selectLockedCells="1"/>
  <mergeCells count="57">
    <mergeCell ref="A1:B1"/>
    <mergeCell ref="C1:E1"/>
    <mergeCell ref="F1:J3"/>
    <mergeCell ref="K1:L1"/>
    <mergeCell ref="C2:E2"/>
    <mergeCell ref="C3:E3"/>
    <mergeCell ref="A5:E6"/>
    <mergeCell ref="G5:J5"/>
    <mergeCell ref="G6:M7"/>
    <mergeCell ref="B7:E7"/>
    <mergeCell ref="B8:E8"/>
    <mergeCell ref="G8:M19"/>
    <mergeCell ref="B9:E9"/>
    <mergeCell ref="A15:B15"/>
    <mergeCell ref="C15:E15"/>
    <mergeCell ref="A16:E19"/>
    <mergeCell ref="B10:E10"/>
    <mergeCell ref="B11:E11"/>
    <mergeCell ref="B12:E12"/>
    <mergeCell ref="A14:B14"/>
    <mergeCell ref="C14:E14"/>
    <mergeCell ref="G25:H25"/>
    <mergeCell ref="G26:H26"/>
    <mergeCell ref="G27:H27"/>
    <mergeCell ref="G28:H28"/>
    <mergeCell ref="L20:M20"/>
    <mergeCell ref="G21:H21"/>
    <mergeCell ref="G22:H22"/>
    <mergeCell ref="G24:H24"/>
    <mergeCell ref="G50:H50"/>
    <mergeCell ref="G33:H33"/>
    <mergeCell ref="A35:A38"/>
    <mergeCell ref="G35:H35"/>
    <mergeCell ref="G36:H36"/>
    <mergeCell ref="G37:H37"/>
    <mergeCell ref="G38:H38"/>
    <mergeCell ref="G45:H45"/>
    <mergeCell ref="G46:H46"/>
    <mergeCell ref="G47:H47"/>
    <mergeCell ref="G48:H48"/>
    <mergeCell ref="G49:H49"/>
    <mergeCell ref="G58:H58"/>
    <mergeCell ref="A56:A58"/>
    <mergeCell ref="A24:A33"/>
    <mergeCell ref="Q24:V24"/>
    <mergeCell ref="R1:V1"/>
    <mergeCell ref="R9:V9"/>
    <mergeCell ref="G51:H51"/>
    <mergeCell ref="G52:H52"/>
    <mergeCell ref="G53:H53"/>
    <mergeCell ref="G54:H54"/>
    <mergeCell ref="G56:H56"/>
    <mergeCell ref="G57:H57"/>
    <mergeCell ref="A40:A54"/>
    <mergeCell ref="G42:H42"/>
    <mergeCell ref="G43:H43"/>
    <mergeCell ref="G44:H44"/>
  </mergeCells>
  <dataValidations count="6">
    <dataValidation type="list" allowBlank="1" showInputMessage="1" showErrorMessage="1" sqref="H41" xr:uid="{00000000-0002-0000-1400-000000000000}">
      <formula1>$U$11:$U$15</formula1>
    </dataValidation>
    <dataValidation type="list" allowBlank="1" sqref="H29" xr:uid="{00000000-0002-0000-1400-000001000000}">
      <formula1>Volume</formula1>
    </dataValidation>
    <dataValidation type="list" allowBlank="1" showInputMessage="1" showErrorMessage="1" sqref="H40" xr:uid="{00000000-0002-0000-1400-000002000000}">
      <formula1>$U$3:$U$7</formula1>
    </dataValidation>
    <dataValidation type="list" allowBlank="1" showInputMessage="1" showErrorMessage="1" sqref="H30" xr:uid="{00000000-0002-0000-1400-000003000000}">
      <formula1>$AL$9:$AL$15</formula1>
    </dataValidation>
    <dataValidation type="list" allowBlank="1" showInputMessage="1" showErrorMessage="1" sqref="H32" xr:uid="{00000000-0002-0000-1400-000004000000}">
      <formula1>$AA$20:$AA$26</formula1>
    </dataValidation>
    <dataValidation type="list" allowBlank="1" showInputMessage="1" showErrorMessage="1" sqref="H31" xr:uid="{00000000-0002-0000-1400-000005000000}">
      <formula1>$AS$9:$AS$15</formula1>
    </dataValidation>
  </dataValidations>
  <pageMargins left="0.70866141732283472" right="0.70866141732283472" top="0.74803149606299213" bottom="0.74803149606299213" header="0.31496062992125984" footer="0.31496062992125984"/>
  <pageSetup paperSize="9" scale="50" fitToHeight="3" orientation="landscape" r:id="rId1"/>
  <headerFooter>
    <oddHeader>&amp;LDepartment for Energy and Mining&amp;C&amp;"Arial"&amp;12&amp;KA80000 OFFICIAL&amp;1#_x000D_</oddHeader>
    <oddFooter>&amp;L&amp;Z
&amp;F&amp;C&amp;P&amp;R&amp;D</oddFooter>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pageSetUpPr fitToPage="1"/>
  </sheetPr>
  <dimension ref="A1:V65"/>
  <sheetViews>
    <sheetView showGridLines="0" zoomScale="90" zoomScaleNormal="90" workbookViewId="0">
      <selection activeCell="J24" sqref="J24"/>
    </sheetView>
  </sheetViews>
  <sheetFormatPr defaultRowHeight="15" x14ac:dyDescent="0.25"/>
  <cols>
    <col min="1" max="1" width="21.5703125" customWidth="1"/>
    <col min="2" max="2" width="10.42578125" customWidth="1"/>
    <col min="3" max="3" width="37.7109375" customWidth="1"/>
    <col min="4" max="4" width="13.5703125" customWidth="1"/>
    <col min="5" max="5" width="11" customWidth="1"/>
    <col min="7" max="7" width="21.5703125" customWidth="1"/>
    <col min="8" max="8" width="15" customWidth="1"/>
    <col min="9" max="9" width="12.7109375" customWidth="1"/>
    <col min="10" max="10" width="12.140625" customWidth="1"/>
    <col min="11" max="11" width="14.42578125" customWidth="1"/>
    <col min="12" max="12" width="13.5703125" customWidth="1"/>
    <col min="13" max="13" width="50.42578125" customWidth="1"/>
    <col min="18" max="18" width="13.28515625" bestFit="1" customWidth="1"/>
    <col min="19" max="19" width="12.42578125" customWidth="1"/>
    <col min="20" max="20" width="13.28515625" bestFit="1" customWidth="1"/>
    <col min="21" max="21" width="12.42578125" customWidth="1"/>
    <col min="22" max="22" width="13.28515625" bestFit="1" customWidth="1"/>
  </cols>
  <sheetData>
    <row r="1" spans="1:22" ht="50.25" customHeight="1" x14ac:dyDescent="0.25">
      <c r="A1" s="1322" t="s">
        <v>514</v>
      </c>
      <c r="B1" s="1323"/>
      <c r="C1" s="1324" t="str">
        <f>'Summary Page'!E13</f>
        <v/>
      </c>
      <c r="D1" s="1325"/>
      <c r="E1" s="1326"/>
      <c r="F1" s="1360"/>
      <c r="G1" s="1285"/>
      <c r="H1" s="1285"/>
      <c r="I1" s="1285"/>
      <c r="J1" s="1286"/>
      <c r="K1" s="1295" t="s">
        <v>460</v>
      </c>
      <c r="L1" s="1295"/>
      <c r="M1" s="404"/>
      <c r="P1" s="514" t="str">
        <f>B23</f>
        <v>A1008</v>
      </c>
      <c r="Q1" s="537" t="s">
        <v>851</v>
      </c>
      <c r="R1" s="538"/>
      <c r="S1" s="538"/>
      <c r="T1" s="538"/>
      <c r="U1" s="539"/>
    </row>
    <row r="2" spans="1:22" ht="21" x14ac:dyDescent="0.35">
      <c r="A2" s="368" t="s">
        <v>461</v>
      </c>
      <c r="B2" s="325">
        <v>9</v>
      </c>
      <c r="C2" s="1296" t="str">
        <f>'Summary Page'!E19</f>
        <v/>
      </c>
      <c r="D2" s="1297"/>
      <c r="E2" s="1348"/>
      <c r="F2" s="1287"/>
      <c r="G2" s="1288"/>
      <c r="H2" s="1288"/>
      <c r="I2" s="1288"/>
      <c r="J2" s="1289"/>
      <c r="K2" s="326"/>
      <c r="L2" s="327" t="s">
        <v>152</v>
      </c>
      <c r="M2" s="328">
        <f>K37</f>
        <v>0</v>
      </c>
      <c r="P2" s="71" t="s">
        <v>35</v>
      </c>
      <c r="Q2" s="357">
        <f>VLOOKUP(P1,Activities!$A$10:$Q$152,16,FALSE)</f>
        <v>1.1303836975020005</v>
      </c>
      <c r="R2" s="358">
        <v>1</v>
      </c>
      <c r="S2" s="357">
        <f>Q2*R2</f>
        <v>1.1303836975020005</v>
      </c>
      <c r="T2" s="45" t="s">
        <v>35</v>
      </c>
      <c r="U2" s="359">
        <f>S2</f>
        <v>1.1303836975020005</v>
      </c>
    </row>
    <row r="3" spans="1:22" ht="21" x14ac:dyDescent="0.25">
      <c r="A3" s="329" t="s">
        <v>267</v>
      </c>
      <c r="B3" s="330">
        <f>'Version Control'!B50</f>
        <v>7</v>
      </c>
      <c r="C3" s="1356"/>
      <c r="D3" s="1357"/>
      <c r="E3" s="1358"/>
      <c r="F3" s="1290"/>
      <c r="G3" s="1291"/>
      <c r="H3" s="1291"/>
      <c r="I3" s="1291"/>
      <c r="J3" s="1292"/>
      <c r="K3" s="331"/>
      <c r="L3" s="332" t="s">
        <v>462</v>
      </c>
      <c r="M3" s="333">
        <f>'Summary Page'!J73</f>
        <v>0</v>
      </c>
      <c r="P3" s="360" t="s">
        <v>36</v>
      </c>
      <c r="Q3" s="357">
        <f>Activities!P$17*2</f>
        <v>2.260767395004001</v>
      </c>
      <c r="R3" s="361">
        <v>0.8</v>
      </c>
      <c r="S3" s="357">
        <f t="shared" ref="S3:S5" si="0">Q3*R3</f>
        <v>1.8086139160032009</v>
      </c>
      <c r="T3" s="362" t="s">
        <v>36</v>
      </c>
      <c r="U3" s="359">
        <f>S3</f>
        <v>1.8086139160032009</v>
      </c>
    </row>
    <row r="4" spans="1:22" ht="18.75" customHeight="1" x14ac:dyDescent="0.25">
      <c r="A4" s="334" t="s">
        <v>463</v>
      </c>
      <c r="B4" s="335">
        <f>'Version Control'!A50</f>
        <v>45531</v>
      </c>
      <c r="C4" s="233"/>
      <c r="D4" s="233"/>
      <c r="E4" s="233"/>
      <c r="F4" s="233"/>
      <c r="G4" s="233"/>
      <c r="H4" s="233"/>
      <c r="I4" s="233"/>
      <c r="J4" s="233"/>
      <c r="K4" s="294"/>
      <c r="L4" s="336" t="s">
        <v>464</v>
      </c>
      <c r="M4" s="337" t="e">
        <f>M2/M3</f>
        <v>#DIV/0!</v>
      </c>
      <c r="P4" s="360" t="s">
        <v>37</v>
      </c>
      <c r="Q4" s="357">
        <f>Activities!P$17*4</f>
        <v>4.5215347900080021</v>
      </c>
      <c r="R4" s="361">
        <v>0.7</v>
      </c>
      <c r="S4" s="357">
        <f t="shared" si="0"/>
        <v>3.1650743530056014</v>
      </c>
      <c r="T4" s="362" t="s">
        <v>37</v>
      </c>
      <c r="U4" s="359">
        <f>S4</f>
        <v>3.1650743530056014</v>
      </c>
    </row>
    <row r="5" spans="1:22" ht="23.25" x14ac:dyDescent="0.25">
      <c r="A5" s="1349" t="s">
        <v>465</v>
      </c>
      <c r="B5" s="1298"/>
      <c r="C5" s="1298"/>
      <c r="D5" s="1298"/>
      <c r="E5" s="1299"/>
      <c r="F5" s="233"/>
      <c r="G5" s="1302" t="s">
        <v>466</v>
      </c>
      <c r="H5" s="1303"/>
      <c r="I5" s="1303"/>
      <c r="J5" s="1304"/>
      <c r="K5" s="233"/>
      <c r="L5" s="233"/>
      <c r="M5" s="233"/>
      <c r="P5" s="360" t="s">
        <v>38</v>
      </c>
      <c r="Q5" s="357">
        <f>Activities!P$17*8</f>
        <v>9.0430695800160041</v>
      </c>
      <c r="R5" s="361">
        <v>0.6</v>
      </c>
      <c r="S5" s="357">
        <f t="shared" si="0"/>
        <v>5.425841748009602</v>
      </c>
      <c r="T5" s="362" t="s">
        <v>244</v>
      </c>
      <c r="U5" s="359">
        <f>S5</f>
        <v>5.425841748009602</v>
      </c>
    </row>
    <row r="6" spans="1:22" ht="15" customHeight="1" x14ac:dyDescent="0.25">
      <c r="A6" s="1350"/>
      <c r="B6" s="1351"/>
      <c r="C6" s="1351"/>
      <c r="D6" s="1351"/>
      <c r="E6" s="1352"/>
      <c r="F6" s="299"/>
      <c r="G6" s="1305" t="s">
        <v>484</v>
      </c>
      <c r="H6" s="1306"/>
      <c r="I6" s="1306"/>
      <c r="J6" s="1306"/>
      <c r="K6" s="1306"/>
      <c r="L6" s="1306"/>
      <c r="M6" s="1307"/>
      <c r="P6" s="363"/>
      <c r="Q6" s="364"/>
      <c r="R6" s="364"/>
      <c r="S6" s="364"/>
      <c r="T6" s="364" t="s">
        <v>264</v>
      </c>
      <c r="U6" s="365"/>
    </row>
    <row r="7" spans="1:22" ht="15" customHeight="1" x14ac:dyDescent="0.25">
      <c r="A7" s="348">
        <v>1</v>
      </c>
      <c r="B7" s="1353" t="s">
        <v>516</v>
      </c>
      <c r="C7" s="1354"/>
      <c r="D7" s="1354"/>
      <c r="E7" s="1355"/>
      <c r="F7" s="339"/>
      <c r="G7" s="1308"/>
      <c r="H7" s="1309"/>
      <c r="I7" s="1309"/>
      <c r="J7" s="1309"/>
      <c r="K7" s="1309"/>
      <c r="L7" s="1309"/>
      <c r="M7" s="1310"/>
      <c r="Q7" s="4"/>
      <c r="R7" s="4"/>
      <c r="S7" s="58"/>
      <c r="T7" s="4"/>
      <c r="V7" s="4"/>
    </row>
    <row r="8" spans="1:22" x14ac:dyDescent="0.25">
      <c r="A8" s="297">
        <v>2</v>
      </c>
      <c r="B8" s="1340" t="s">
        <v>517</v>
      </c>
      <c r="C8" s="1341"/>
      <c r="D8" s="1341"/>
      <c r="E8" s="1342"/>
      <c r="F8" s="339"/>
      <c r="G8" s="1137"/>
      <c r="H8" s="1138"/>
      <c r="I8" s="1138"/>
      <c r="J8" s="1138"/>
      <c r="K8" s="1138"/>
      <c r="L8" s="1138"/>
      <c r="M8" s="1139"/>
      <c r="Q8" s="4"/>
      <c r="R8" s="4"/>
      <c r="S8" s="58"/>
      <c r="T8" s="4"/>
      <c r="V8" s="4"/>
    </row>
    <row r="9" spans="1:22" x14ac:dyDescent="0.25">
      <c r="A9" s="297">
        <v>3</v>
      </c>
      <c r="B9" s="1343" t="s">
        <v>518</v>
      </c>
      <c r="C9" s="1344"/>
      <c r="D9" s="1344"/>
      <c r="E9" s="1345"/>
      <c r="F9" s="339"/>
      <c r="G9" s="1140"/>
      <c r="H9" s="1141"/>
      <c r="I9" s="1141"/>
      <c r="J9" s="1141"/>
      <c r="K9" s="1141"/>
      <c r="L9" s="1141"/>
      <c r="M9" s="1142"/>
      <c r="Q9" s="4"/>
      <c r="R9" s="4"/>
      <c r="S9" s="58"/>
      <c r="T9" s="4"/>
      <c r="V9" s="4"/>
    </row>
    <row r="10" spans="1:22" x14ac:dyDescent="0.25">
      <c r="A10" s="297">
        <v>4</v>
      </c>
      <c r="B10" s="1327"/>
      <c r="C10" s="1327"/>
      <c r="D10" s="1327"/>
      <c r="E10" s="1328"/>
      <c r="F10" s="339"/>
      <c r="G10" s="1140"/>
      <c r="H10" s="1141"/>
      <c r="I10" s="1141"/>
      <c r="J10" s="1141"/>
      <c r="K10" s="1141"/>
      <c r="L10" s="1141"/>
      <c r="M10" s="1142"/>
    </row>
    <row r="11" spans="1:22" ht="18.75" x14ac:dyDescent="0.3">
      <c r="A11" s="297">
        <v>5</v>
      </c>
      <c r="B11" s="1330"/>
      <c r="C11" s="1331"/>
      <c r="D11" s="1331"/>
      <c r="E11" s="1332"/>
      <c r="F11" s="339"/>
      <c r="G11" s="1140"/>
      <c r="H11" s="1141"/>
      <c r="I11" s="1141"/>
      <c r="J11" s="1141"/>
      <c r="K11" s="1141"/>
      <c r="L11" s="1141"/>
      <c r="M11" s="1142"/>
      <c r="P11" s="6"/>
    </row>
    <row r="12" spans="1:22" x14ac:dyDescent="0.25">
      <c r="A12" s="305">
        <v>6</v>
      </c>
      <c r="B12" s="1346"/>
      <c r="C12" s="1346"/>
      <c r="D12" s="1346"/>
      <c r="E12" s="1347"/>
      <c r="F12" s="233"/>
      <c r="G12" s="1140"/>
      <c r="H12" s="1141"/>
      <c r="I12" s="1141"/>
      <c r="J12" s="1141"/>
      <c r="K12" s="1141"/>
      <c r="L12" s="1141"/>
      <c r="M12" s="1142"/>
    </row>
    <row r="13" spans="1:22" x14ac:dyDescent="0.25">
      <c r="A13" s="340" t="s">
        <v>34</v>
      </c>
      <c r="B13" s="233"/>
      <c r="C13" s="233"/>
      <c r="D13" s="233"/>
      <c r="E13" s="233"/>
      <c r="F13" s="233"/>
      <c r="G13" s="1140"/>
      <c r="H13" s="1141"/>
      <c r="I13" s="1141"/>
      <c r="J13" s="1141"/>
      <c r="K13" s="1141"/>
      <c r="L13" s="1141"/>
      <c r="M13" s="1142"/>
      <c r="Q13" s="4"/>
      <c r="R13" s="4"/>
      <c r="S13" s="58"/>
      <c r="T13" s="4"/>
      <c r="V13" s="4"/>
    </row>
    <row r="14" spans="1:22" x14ac:dyDescent="0.25">
      <c r="A14" s="1276"/>
      <c r="B14" s="1277"/>
      <c r="C14" s="1278" t="s">
        <v>352</v>
      </c>
      <c r="D14" s="1278"/>
      <c r="E14" s="1279"/>
      <c r="F14" s="233"/>
      <c r="G14" s="1140"/>
      <c r="H14" s="1141"/>
      <c r="I14" s="1141"/>
      <c r="J14" s="1141"/>
      <c r="K14" s="1141"/>
      <c r="L14" s="1141"/>
      <c r="M14" s="1142"/>
      <c r="Q14" s="4"/>
      <c r="R14" s="4"/>
      <c r="S14" s="58"/>
      <c r="T14" s="4"/>
      <c r="V14" s="4"/>
    </row>
    <row r="15" spans="1:22" x14ac:dyDescent="0.25">
      <c r="A15" s="1201"/>
      <c r="B15" s="1202"/>
      <c r="C15" s="1280" t="s">
        <v>467</v>
      </c>
      <c r="D15" s="1280"/>
      <c r="E15" s="1281"/>
      <c r="F15" s="233"/>
      <c r="G15" s="1140"/>
      <c r="H15" s="1141"/>
      <c r="I15" s="1141"/>
      <c r="J15" s="1141"/>
      <c r="K15" s="1141"/>
      <c r="L15" s="1141"/>
      <c r="M15" s="1142"/>
    </row>
    <row r="16" spans="1:22" ht="18.75" customHeight="1" x14ac:dyDescent="0.3">
      <c r="A16" s="1284" t="s">
        <v>824</v>
      </c>
      <c r="B16" s="1285"/>
      <c r="C16" s="1285"/>
      <c r="D16" s="1285"/>
      <c r="E16" s="1286"/>
      <c r="F16" s="233"/>
      <c r="G16" s="1140"/>
      <c r="H16" s="1141"/>
      <c r="I16" s="1141"/>
      <c r="J16" s="1141"/>
      <c r="K16" s="1141"/>
      <c r="L16" s="1141"/>
      <c r="M16" s="1142"/>
      <c r="P16" s="6"/>
    </row>
    <row r="17" spans="1:22" x14ac:dyDescent="0.25">
      <c r="A17" s="1287"/>
      <c r="B17" s="1288"/>
      <c r="C17" s="1288"/>
      <c r="D17" s="1288"/>
      <c r="E17" s="1289"/>
      <c r="F17" s="233"/>
      <c r="G17" s="1140"/>
      <c r="H17" s="1141"/>
      <c r="I17" s="1141"/>
      <c r="J17" s="1141"/>
      <c r="K17" s="1141"/>
      <c r="L17" s="1141"/>
      <c r="M17" s="1142"/>
      <c r="Q17" s="4"/>
      <c r="R17" s="4"/>
      <c r="S17" s="58"/>
      <c r="T17" s="4"/>
      <c r="V17" s="4"/>
    </row>
    <row r="18" spans="1:22" x14ac:dyDescent="0.25">
      <c r="A18" s="1287"/>
      <c r="B18" s="1288"/>
      <c r="C18" s="1288"/>
      <c r="D18" s="1288"/>
      <c r="E18" s="1289"/>
      <c r="F18" s="233"/>
      <c r="G18" s="1140"/>
      <c r="H18" s="1141"/>
      <c r="I18" s="1141"/>
      <c r="J18" s="1141"/>
      <c r="K18" s="1141"/>
      <c r="L18" s="1141"/>
      <c r="M18" s="1142"/>
      <c r="Q18" s="4"/>
      <c r="R18" s="4"/>
      <c r="S18" s="58"/>
      <c r="T18" s="4"/>
      <c r="V18" s="4"/>
    </row>
    <row r="19" spans="1:22" x14ac:dyDescent="0.25">
      <c r="A19" s="1290"/>
      <c r="B19" s="1291"/>
      <c r="C19" s="1291"/>
      <c r="D19" s="1291"/>
      <c r="E19" s="1292"/>
      <c r="F19" s="233"/>
      <c r="G19" s="1143"/>
      <c r="H19" s="1144"/>
      <c r="I19" s="1144"/>
      <c r="J19" s="1144"/>
      <c r="K19" s="1144"/>
      <c r="L19" s="1144"/>
      <c r="M19" s="1145"/>
      <c r="Q19" s="4"/>
      <c r="R19" s="4"/>
      <c r="S19" s="58"/>
      <c r="T19" s="4"/>
      <c r="V19" s="4"/>
    </row>
    <row r="20" spans="1:22" s="1" customFormat="1" x14ac:dyDescent="0.25">
      <c r="A20" s="233"/>
      <c r="B20" s="233"/>
      <c r="C20" s="233"/>
      <c r="D20" s="366"/>
      <c r="E20" s="233"/>
      <c r="F20" s="233"/>
      <c r="G20" s="233"/>
      <c r="H20" s="233"/>
      <c r="I20" s="233"/>
      <c r="J20" s="219"/>
      <c r="K20" s="367"/>
      <c r="L20" s="1291"/>
      <c r="M20" s="1292"/>
      <c r="P20"/>
      <c r="Q20" s="4"/>
      <c r="R20" s="4"/>
      <c r="S20" s="58"/>
      <c r="T20" s="4"/>
      <c r="U20"/>
      <c r="V20" s="4"/>
    </row>
    <row r="21" spans="1:22" ht="60.75" customHeight="1" thickBot="1" x14ac:dyDescent="0.3">
      <c r="A21" s="119" t="s">
        <v>39</v>
      </c>
      <c r="B21" s="120" t="s">
        <v>40</v>
      </c>
      <c r="C21" s="120" t="s">
        <v>479</v>
      </c>
      <c r="D21" s="311" t="s">
        <v>272</v>
      </c>
      <c r="E21" s="311" t="s">
        <v>43</v>
      </c>
      <c r="F21" s="120" t="s">
        <v>273</v>
      </c>
      <c r="G21" s="1212" t="s">
        <v>416</v>
      </c>
      <c r="H21" s="1212"/>
      <c r="I21" s="120" t="s">
        <v>45</v>
      </c>
      <c r="J21" s="312" t="s">
        <v>271</v>
      </c>
      <c r="K21" s="120" t="s">
        <v>47</v>
      </c>
      <c r="L21" s="120" t="s">
        <v>270</v>
      </c>
      <c r="M21" s="317" t="s">
        <v>415</v>
      </c>
    </row>
    <row r="22" spans="1:22" ht="75.75" customHeight="1" thickBot="1" x14ac:dyDescent="0.3">
      <c r="A22" s="1132" t="s">
        <v>250</v>
      </c>
      <c r="B22" s="86" t="s">
        <v>248</v>
      </c>
      <c r="C22" s="259" t="str">
        <f>VLOOKUP($B22,Activities!$A$10:$P$152,3,FALSE)</f>
        <v>Demolition of Haul and Access Roads 
(Based on 20m wide road including shoulders)</v>
      </c>
      <c r="D22" s="239" t="s">
        <v>49</v>
      </c>
      <c r="E22" s="832"/>
      <c r="F22" s="246" t="str">
        <f>VLOOKUP($B22,Activities!$A$10:$P$152,4,FALSE)</f>
        <v>km</v>
      </c>
      <c r="G22" s="314" t="s">
        <v>249</v>
      </c>
      <c r="H22" s="610">
        <f>E22*20*0.2*1000</f>
        <v>0</v>
      </c>
      <c r="I22" s="549">
        <f>Activities!P48</f>
        <v>11718.876142139601</v>
      </c>
      <c r="J22" s="351"/>
      <c r="K22" s="387">
        <f>IF(D22="Y",IF(J22="",I22*E22,J22*E22),"")</f>
        <v>0</v>
      </c>
      <c r="L22" s="145" t="str">
        <f>IFERROR(IF(D22="Y",K22/$K$37,0%),"0.0%")</f>
        <v>0.0%</v>
      </c>
      <c r="M22" s="290" t="str">
        <f>VLOOKUP($B22,Activities!$A$10:$S$152,19,FALSE)</f>
        <v>This activity covers the digging up of haul and access roads, loading into a truck and carting to a designated dump site.  It also makes allowance for tiding up the dump site.  A standard width of road is assumed for the purpose of the activity.</v>
      </c>
    </row>
    <row r="23" spans="1:22" ht="48.75" customHeight="1" thickBot="1" x14ac:dyDescent="0.3">
      <c r="A23" s="1133"/>
      <c r="B23" s="86" t="s">
        <v>19</v>
      </c>
      <c r="C23" s="259" t="str">
        <f>VLOOKUP($B23,Activities!$A$10:$P$152,3,FALSE)</f>
        <v>The haulage of materials per km per cubic metre of material</v>
      </c>
      <c r="D23" s="239" t="s">
        <v>49</v>
      </c>
      <c r="E23" s="610">
        <f>H22</f>
        <v>0</v>
      </c>
      <c r="F23" s="246" t="s">
        <v>27</v>
      </c>
      <c r="G23" s="313" t="s">
        <v>51</v>
      </c>
      <c r="H23" s="167" t="s">
        <v>264</v>
      </c>
      <c r="I23" s="350">
        <f>VLOOKUP(H23,T2:U6,2,FALSE)</f>
        <v>0</v>
      </c>
      <c r="J23" s="351"/>
      <c r="K23" s="388">
        <f>IF(D23="Y",IF(J23="",I23*E23,J23*E23),0)</f>
        <v>0</v>
      </c>
      <c r="L23" s="145" t="str">
        <f>IFERROR(IF(D23="Y",K23/$K$37,0%),"0.0%")</f>
        <v>0.0%</v>
      </c>
      <c r="M23" s="290" t="str">
        <f>VLOOKUP($B23,Activities!$A$10:$S$152,19,FALSE)</f>
        <v>This calculation prices the cost of hauling materials over a distance</v>
      </c>
      <c r="P23" s="47"/>
      <c r="Q23" s="47"/>
      <c r="R23" s="47"/>
      <c r="S23" s="47"/>
    </row>
    <row r="24" spans="1:22" ht="84.75" thickBot="1" x14ac:dyDescent="0.3">
      <c r="A24" s="1133"/>
      <c r="B24" s="102" t="s">
        <v>251</v>
      </c>
      <c r="C24" s="259" t="str">
        <f>VLOOKUP($B24,Activities!$A$10:$P$152,3,FALSE)</f>
        <v>Scarification and ripping of Haul and Access Roads</v>
      </c>
      <c r="D24" s="239" t="s">
        <v>49</v>
      </c>
      <c r="E24" s="320"/>
      <c r="F24" s="246" t="str">
        <f>VLOOKUP($B24,Activities!$A$10:$P$152,4,FALSE)</f>
        <v>km</v>
      </c>
      <c r="G24" s="1269"/>
      <c r="H24" s="1270"/>
      <c r="I24" s="273">
        <f>VLOOKUP($B24,Activities!$A$10:$S$152,16,FALSE)</f>
        <v>817.62150792547607</v>
      </c>
      <c r="J24" s="269"/>
      <c r="K24" s="388">
        <f t="shared" ref="K24" si="1">IF(D24="Y",IF(J24="",I24*E24,J24*E24),0)</f>
        <v>0</v>
      </c>
      <c r="L24" s="248" t="str">
        <f t="shared" ref="L24" si="2">IFERROR(IF(D24="Y",K24/$K$55,0%),"0.0%")</f>
        <v>0.0%</v>
      </c>
      <c r="M24" s="290" t="str">
        <f>VLOOKUP($B24,Activities!$A$10:$S$152,19,FALSE)</f>
        <v>This activity is specifically minor shaping and for the scarification and where necessary the deep ripping of Haul and Access roads to allow natural re-vegetation to occurr.   It is appropriate for access roads and tracks of a width of 5 metres and of minimal construction.  (Access to drill locations and minor areas) ( For major constructed haul roads  20m in width use A1039)</v>
      </c>
      <c r="O24" s="47"/>
      <c r="P24" s="47"/>
      <c r="Q24" s="47"/>
      <c r="R24" s="47"/>
      <c r="S24" s="47"/>
    </row>
    <row r="25" spans="1:22" ht="49.5" customHeight="1" thickBot="1" x14ac:dyDescent="0.3">
      <c r="A25" s="1133"/>
      <c r="B25" s="37"/>
      <c r="C25" s="271" t="s">
        <v>55</v>
      </c>
      <c r="D25" s="239" t="s">
        <v>49</v>
      </c>
      <c r="E25" s="346"/>
      <c r="F25" s="296"/>
      <c r="G25" s="1269"/>
      <c r="H25" s="1270"/>
      <c r="I25" s="355" t="s">
        <v>475</v>
      </c>
      <c r="J25" s="269"/>
      <c r="K25" s="389">
        <f>IF(D25="Y",J25*E25,"")</f>
        <v>0</v>
      </c>
      <c r="L25" s="145" t="str">
        <f>IFERROR(IF(D25="Y",K25/$K$37,0%),"0.0%")</f>
        <v>0.0%</v>
      </c>
      <c r="M25" s="139" t="s">
        <v>56</v>
      </c>
      <c r="O25" s="47"/>
    </row>
    <row r="26" spans="1:22" ht="30.75" customHeight="1" thickBot="1" x14ac:dyDescent="0.35">
      <c r="A26" s="21" t="s">
        <v>53</v>
      </c>
      <c r="B26" s="22" t="str">
        <f>A22</f>
        <v>Demolition and re-Instatement of Haul and Access Road areas</v>
      </c>
      <c r="C26" s="23"/>
      <c r="D26" s="24"/>
      <c r="E26" s="25"/>
      <c r="F26" s="24"/>
      <c r="G26" s="24"/>
      <c r="H26" s="24"/>
      <c r="I26" s="26"/>
      <c r="J26" s="27"/>
      <c r="K26" s="28">
        <f>SUM(K22:K25)</f>
        <v>0</v>
      </c>
      <c r="L26" s="24"/>
      <c r="M26" s="43"/>
      <c r="P26" s="391" t="s">
        <v>525</v>
      </c>
      <c r="Q26" s="48"/>
      <c r="R26" s="48"/>
      <c r="S26" s="48"/>
      <c r="T26" s="48"/>
      <c r="U26" s="48"/>
      <c r="V26" s="49"/>
    </row>
    <row r="27" spans="1:22" ht="50.25" customHeight="1" thickBot="1" x14ac:dyDescent="0.3">
      <c r="A27" s="1132" t="s">
        <v>261</v>
      </c>
      <c r="B27" s="102" t="s">
        <v>70</v>
      </c>
      <c r="C27" s="259" t="str">
        <f>VLOOKUP($B27,Activities!$A$10:$P$152,3,FALSE)</f>
        <v>Sourcing, Carting and Spreading of Topsoil over an Area</v>
      </c>
      <c r="D27" s="239" t="s">
        <v>49</v>
      </c>
      <c r="E27" s="346"/>
      <c r="F27" s="246" t="str">
        <f>VLOOKUP($B27,Activities!$A$10:$P$152,4,FALSE)</f>
        <v>m3</v>
      </c>
      <c r="G27" s="313" t="s">
        <v>51</v>
      </c>
      <c r="H27" s="167" t="s">
        <v>264</v>
      </c>
      <c r="I27" s="350">
        <f>VLOOKUP(H27,U28:V32,2)</f>
        <v>0</v>
      </c>
      <c r="J27" s="269"/>
      <c r="K27" s="387">
        <f>IF(D27="Y",IF(J27="",I27*E27,J27*E27),"")</f>
        <v>0</v>
      </c>
      <c r="L27" s="248" t="str">
        <f>IFERROR(IF(D27="Y",K27/$K$51,0%),"0.0%")</f>
        <v>0.0%</v>
      </c>
      <c r="M27" s="290" t="str">
        <f>VLOOKUP($B27,Activities!$A$10:$S$152,19,FALSE)</f>
        <v>This activity covers the sourcing of topsoil or suitable growth medium, transporting from the source to the required area and then spreading it over that area.</v>
      </c>
      <c r="P27" s="71"/>
      <c r="Q27" s="45"/>
      <c r="R27" s="45"/>
      <c r="S27" s="45"/>
      <c r="T27" s="45"/>
      <c r="U27" s="45"/>
      <c r="V27" s="50"/>
    </row>
    <row r="28" spans="1:22" ht="51.75" customHeight="1" thickBot="1" x14ac:dyDescent="0.3">
      <c r="A28" s="1133"/>
      <c r="B28" s="245" t="s">
        <v>21</v>
      </c>
      <c r="C28" s="259" t="str">
        <f>VLOOKUP($B28,Activities!$A$10:$P$152,3,FALSE)</f>
        <v>Scarification to promote vegetation growth</v>
      </c>
      <c r="D28" s="239" t="s">
        <v>49</v>
      </c>
      <c r="E28" s="320"/>
      <c r="F28" s="246" t="str">
        <f>VLOOKUP($B28,Activities!$A$10:$P$152,4,FALSE)</f>
        <v>Ha</v>
      </c>
      <c r="G28" s="1269"/>
      <c r="H28" s="1270"/>
      <c r="I28" s="273">
        <f>VLOOKUP($B28,Activities!$A$10:$S$152,16,FALSE)</f>
        <v>323.54530924221694</v>
      </c>
      <c r="J28" s="269"/>
      <c r="K28" s="388">
        <f t="shared" ref="K28:K30" si="3">IF(D28="Y",IF(J28="",I28*E28,J28*E28),0)</f>
        <v>0</v>
      </c>
      <c r="L28" s="248" t="str">
        <f t="shared" ref="L28:L30" si="4">IFERROR(IF(D28="Y",K28/$K$55,0%),"0.0%")</f>
        <v>0.0%</v>
      </c>
      <c r="M28" s="290" t="str">
        <f>VLOOKUP($B28,Activities!$A$10:$S$152,19,FALSE)</f>
        <v xml:space="preserve">This activity is undertaken in preparation for the seeding of a particular area.  </v>
      </c>
      <c r="P28" s="71" t="s">
        <v>35</v>
      </c>
      <c r="Q28" s="392">
        <f>Activities!P33</f>
        <v>0.1</v>
      </c>
      <c r="R28" s="392">
        <f>Activities!P22</f>
        <v>1.4289323610931841</v>
      </c>
      <c r="S28" s="358">
        <v>1</v>
      </c>
      <c r="T28" s="392">
        <f>R28+Q28</f>
        <v>1.5289323610931842</v>
      </c>
      <c r="U28" s="45" t="s">
        <v>35</v>
      </c>
      <c r="V28" s="393">
        <f>T28</f>
        <v>1.5289323610931842</v>
      </c>
    </row>
    <row r="29" spans="1:22" ht="48" thickBot="1" x14ac:dyDescent="0.3">
      <c r="A29" s="1133"/>
      <c r="B29" s="102" t="s">
        <v>23</v>
      </c>
      <c r="C29" s="259" t="str">
        <f>VLOOKUP($B29,Activities!$A$10:$P$152,3,FALSE)</f>
        <v>Demolish and remove concrete pads and footings - assumes reinforced concrete slab max 300 mm thick</v>
      </c>
      <c r="D29" s="239" t="s">
        <v>49</v>
      </c>
      <c r="E29" s="320"/>
      <c r="F29" s="246" t="str">
        <f>VLOOKUP($B29,Activities!$A$10:$P$152,4,FALSE)</f>
        <v>m2</v>
      </c>
      <c r="G29" s="1269"/>
      <c r="H29" s="1270"/>
      <c r="I29" s="273">
        <f>VLOOKUP($B29,Activities!$A$10:$S$152,16,FALSE)</f>
        <v>172.0411467499186</v>
      </c>
      <c r="J29" s="269"/>
      <c r="K29" s="388">
        <f t="shared" si="3"/>
        <v>0</v>
      </c>
      <c r="L29" s="248" t="str">
        <f t="shared" si="4"/>
        <v>0.0%</v>
      </c>
      <c r="M29" s="290" t="str">
        <f>VLOOKUP($B29,Activities!$A$10:$S$152,19,FALSE)</f>
        <v xml:space="preserve">The activity includes the demolition and removal of reinforced concrete slabs max 300 mm thick. Assumes cutting off piles at 1 m below surface. </v>
      </c>
      <c r="P29" s="71" t="s">
        <v>36</v>
      </c>
      <c r="Q29" s="392">
        <f>Activities!P$22</f>
        <v>1.4289323610931841</v>
      </c>
      <c r="R29" s="392">
        <f>R28*2</f>
        <v>2.8578647221863682</v>
      </c>
      <c r="S29" s="358">
        <v>0.8</v>
      </c>
      <c r="T29" s="392">
        <f>Q29+(R29*S29)</f>
        <v>3.7152241388422791</v>
      </c>
      <c r="U29" s="45" t="s">
        <v>36</v>
      </c>
      <c r="V29" s="393">
        <f>T29</f>
        <v>3.7152241388422791</v>
      </c>
    </row>
    <row r="30" spans="1:22" ht="48" thickBot="1" x14ac:dyDescent="0.3">
      <c r="A30" s="1134"/>
      <c r="B30" s="86" t="s">
        <v>24</v>
      </c>
      <c r="C30" s="259" t="str">
        <f>VLOOKUP($B30,Activities!$A$10:$P$152,3,FALSE)</f>
        <v>Minor earthworks (e.g. grading, shaping). Applies where the quantity is less than 500 m2.</v>
      </c>
      <c r="D30" s="239" t="s">
        <v>49</v>
      </c>
      <c r="E30" s="320"/>
      <c r="F30" s="246" t="str">
        <f>VLOOKUP($B30,Activities!$A$10:$P$152,4,FALSE)</f>
        <v>m2</v>
      </c>
      <c r="G30" s="1269"/>
      <c r="H30" s="1270"/>
      <c r="I30" s="272">
        <f>VLOOKUP($B30,Activities!$A$10:$S$152,16,FALSE)</f>
        <v>1.9914814131818714</v>
      </c>
      <c r="J30" s="269"/>
      <c r="K30" s="388">
        <f t="shared" si="3"/>
        <v>0</v>
      </c>
      <c r="L30" s="248" t="str">
        <f t="shared" si="4"/>
        <v>0.0%</v>
      </c>
      <c r="M30" s="290" t="str">
        <f>VLOOKUP($B30,Activities!$A$10:$S$152,19,FALSE)</f>
        <v>Applies to very small areas.</v>
      </c>
      <c r="P30" s="71" t="s">
        <v>37</v>
      </c>
      <c r="Q30" s="392">
        <f>Activities!P$22</f>
        <v>1.4289323610931841</v>
      </c>
      <c r="R30" s="392">
        <f>R28*3.5</f>
        <v>5.0012632638261447</v>
      </c>
      <c r="S30" s="358">
        <v>0.7</v>
      </c>
      <c r="T30" s="392">
        <f>Q30+(R30*S30)</f>
        <v>4.9298166457714849</v>
      </c>
      <c r="U30" s="45" t="s">
        <v>37</v>
      </c>
      <c r="V30" s="393">
        <f>T30</f>
        <v>4.9298166457714849</v>
      </c>
    </row>
    <row r="31" spans="1:22" ht="30.75" customHeight="1" thickBot="1" x14ac:dyDescent="0.3">
      <c r="A31" s="21" t="s">
        <v>53</v>
      </c>
      <c r="B31" s="112" t="str">
        <f>A27</f>
        <v>Re-Vegetation of Area</v>
      </c>
      <c r="C31" s="23"/>
      <c r="D31" s="24"/>
      <c r="E31" s="25"/>
      <c r="F31" s="24"/>
      <c r="G31" s="24"/>
      <c r="H31" s="24"/>
      <c r="I31" s="26"/>
      <c r="J31" s="27"/>
      <c r="K31" s="28">
        <f>SUM(K27:K30)</f>
        <v>0</v>
      </c>
      <c r="L31" s="24"/>
      <c r="M31" s="43"/>
      <c r="P31" s="52" t="s">
        <v>38</v>
      </c>
      <c r="Q31" s="394">
        <f>Activities!P$22</f>
        <v>1.4289323610931841</v>
      </c>
      <c r="R31" s="394">
        <f>R28*5</f>
        <v>7.1446618054659208</v>
      </c>
      <c r="S31" s="395">
        <v>0.6</v>
      </c>
      <c r="T31" s="394">
        <f>Q31+(R31*S31)</f>
        <v>5.7157294443727364</v>
      </c>
      <c r="U31" s="51" t="s">
        <v>244</v>
      </c>
      <c r="V31" s="396">
        <f>T31</f>
        <v>5.7157294443727364</v>
      </c>
    </row>
    <row r="32" spans="1:22" ht="48" customHeight="1" thickBot="1" x14ac:dyDescent="0.3">
      <c r="A32" s="1361" t="s">
        <v>337</v>
      </c>
      <c r="B32" s="37"/>
      <c r="C32" s="295" t="s">
        <v>55</v>
      </c>
      <c r="D32" s="239" t="s">
        <v>49</v>
      </c>
      <c r="E32" s="346"/>
      <c r="F32" s="296"/>
      <c r="G32" s="1269"/>
      <c r="H32" s="1270"/>
      <c r="I32" s="355" t="s">
        <v>475</v>
      </c>
      <c r="J32" s="269"/>
      <c r="K32" s="387">
        <f>IF(D32="Y",J32*E32,"")</f>
        <v>0</v>
      </c>
      <c r="L32" s="145" t="str">
        <f>IFERROR(IF(D32="Y",K32/$K$37,0%),"0.0%")</f>
        <v>0.0%</v>
      </c>
      <c r="M32" s="169" t="s">
        <v>68</v>
      </c>
      <c r="P32" s="1"/>
      <c r="Q32" s="1"/>
      <c r="R32" s="1"/>
      <c r="S32" s="1"/>
      <c r="T32" s="1"/>
      <c r="U32" s="1" t="s">
        <v>264</v>
      </c>
      <c r="V32" s="1"/>
    </row>
    <row r="33" spans="1:13" ht="48" customHeight="1" thickBot="1" x14ac:dyDescent="0.3">
      <c r="A33" s="1361"/>
      <c r="B33" s="37"/>
      <c r="C33" s="295" t="s">
        <v>55</v>
      </c>
      <c r="D33" s="239" t="s">
        <v>49</v>
      </c>
      <c r="E33" s="346"/>
      <c r="F33" s="296"/>
      <c r="G33" s="1269"/>
      <c r="H33" s="1270"/>
      <c r="I33" s="355" t="s">
        <v>475</v>
      </c>
      <c r="J33" s="269"/>
      <c r="K33" s="387">
        <f>IF(D33="Y",J33*E33,"")</f>
        <v>0</v>
      </c>
      <c r="L33" s="145" t="str">
        <f>IFERROR(IF(D33="Y",K33/$K$37,0%),"0.0%")</f>
        <v>0.0%</v>
      </c>
      <c r="M33" s="169" t="s">
        <v>68</v>
      </c>
    </row>
    <row r="34" spans="1:13" ht="48" customHeight="1" thickBot="1" x14ac:dyDescent="0.3">
      <c r="A34" s="1361"/>
      <c r="B34" s="37"/>
      <c r="C34" s="295" t="s">
        <v>55</v>
      </c>
      <c r="D34" s="239" t="s">
        <v>49</v>
      </c>
      <c r="E34" s="346"/>
      <c r="F34" s="296"/>
      <c r="G34" s="1269"/>
      <c r="H34" s="1270"/>
      <c r="I34" s="355" t="s">
        <v>475</v>
      </c>
      <c r="J34" s="269"/>
      <c r="K34" s="387">
        <f>IF(D34="Y",J34*E34,"")</f>
        <v>0</v>
      </c>
      <c r="L34" s="145" t="str">
        <f>IFERROR(IF(D34="Y",K34/$K$37,0%),"0.0%")</f>
        <v>0.0%</v>
      </c>
      <c r="M34" s="169" t="s">
        <v>68</v>
      </c>
    </row>
    <row r="35" spans="1:13" ht="15.75" thickBot="1" x14ac:dyDescent="0.3">
      <c r="A35" s="21" t="s">
        <v>53</v>
      </c>
      <c r="B35" s="22" t="str">
        <f>A32</f>
        <v>Other Activity in for Haul Roads</v>
      </c>
      <c r="C35" s="23"/>
      <c r="D35" s="24"/>
      <c r="E35" s="25"/>
      <c r="F35" s="24"/>
      <c r="G35" s="24"/>
      <c r="H35" s="24"/>
      <c r="I35" s="26"/>
      <c r="J35" s="27"/>
      <c r="K35" s="28">
        <f>SUM(K32:K34)</f>
        <v>0</v>
      </c>
      <c r="L35" s="24"/>
      <c r="M35" s="29"/>
    </row>
    <row r="36" spans="1:13" x14ac:dyDescent="0.25">
      <c r="A36" s="3"/>
      <c r="B36" s="3"/>
      <c r="C36" s="30"/>
      <c r="D36" s="9"/>
      <c r="E36" s="31"/>
      <c r="F36" s="9"/>
      <c r="G36" s="9"/>
      <c r="H36" s="9"/>
      <c r="I36" s="32"/>
      <c r="J36" s="2"/>
      <c r="K36" s="77"/>
      <c r="L36" s="9"/>
      <c r="M36" s="30"/>
    </row>
    <row r="37" spans="1:13" ht="21" x14ac:dyDescent="0.25">
      <c r="A37" s="3"/>
      <c r="B37" s="3"/>
      <c r="C37" s="30"/>
      <c r="D37" s="9"/>
      <c r="E37" s="31"/>
      <c r="F37" s="9"/>
      <c r="G37" s="9"/>
      <c r="H37" s="9"/>
      <c r="J37" s="34" t="s">
        <v>459</v>
      </c>
      <c r="K37" s="35">
        <f>K26+K31+K35</f>
        <v>0</v>
      </c>
      <c r="L37" s="9"/>
      <c r="M37" s="30"/>
    </row>
    <row r="38" spans="1:13" x14ac:dyDescent="0.25">
      <c r="A38" s="3"/>
      <c r="B38" s="3"/>
      <c r="C38" s="30"/>
      <c r="D38" s="9"/>
      <c r="E38" s="31"/>
      <c r="F38" s="9"/>
      <c r="G38" s="9"/>
      <c r="H38" s="9"/>
      <c r="I38" s="32"/>
      <c r="J38" s="2"/>
      <c r="K38" s="77"/>
      <c r="L38" s="9"/>
      <c r="M38" s="30"/>
    </row>
    <row r="39" spans="1:13" x14ac:dyDescent="0.25">
      <c r="A39" s="3"/>
      <c r="B39" s="3"/>
      <c r="C39" s="30"/>
      <c r="D39" s="9"/>
      <c r="E39" s="31"/>
      <c r="F39" s="9"/>
      <c r="G39" s="9"/>
      <c r="H39" s="9"/>
      <c r="I39" s="32"/>
      <c r="J39" s="2"/>
      <c r="K39" s="77"/>
      <c r="L39" s="9"/>
      <c r="M39" s="30"/>
    </row>
    <row r="40" spans="1:13" x14ac:dyDescent="0.25">
      <c r="A40" s="3"/>
      <c r="B40" s="3"/>
      <c r="C40" s="30"/>
      <c r="D40" s="9"/>
      <c r="E40" s="31"/>
      <c r="F40" s="9"/>
      <c r="G40" s="9"/>
      <c r="H40" s="9"/>
      <c r="I40" s="32"/>
      <c r="J40" s="2"/>
      <c r="K40" s="77"/>
      <c r="L40" s="9"/>
      <c r="M40" s="30"/>
    </row>
    <row r="41" spans="1:13" x14ac:dyDescent="0.25">
      <c r="A41" s="3"/>
      <c r="B41" s="3"/>
      <c r="C41" s="30"/>
      <c r="D41" s="9"/>
      <c r="E41" s="31"/>
      <c r="F41" s="9"/>
      <c r="G41" s="9"/>
      <c r="H41" s="9"/>
      <c r="I41" s="32"/>
      <c r="J41" s="2"/>
      <c r="K41" s="77"/>
      <c r="L41" s="9"/>
      <c r="M41" s="30"/>
    </row>
    <row r="42" spans="1:13" x14ac:dyDescent="0.25">
      <c r="A42" s="3"/>
      <c r="B42" s="3"/>
      <c r="C42" s="30"/>
      <c r="D42" s="9"/>
      <c r="E42" s="31"/>
      <c r="F42" s="9"/>
      <c r="G42" s="9"/>
      <c r="H42" s="9"/>
      <c r="I42" s="32"/>
      <c r="J42" s="2"/>
      <c r="K42" s="77"/>
      <c r="L42" s="9"/>
      <c r="M42" s="30"/>
    </row>
    <row r="43" spans="1:13" x14ac:dyDescent="0.25">
      <c r="A43" s="3"/>
      <c r="B43" s="3"/>
      <c r="C43" s="30"/>
      <c r="D43" s="9"/>
      <c r="E43" s="31"/>
      <c r="F43" s="9"/>
      <c r="G43" s="9"/>
      <c r="H43" s="9"/>
      <c r="I43" s="32"/>
      <c r="J43" s="2"/>
      <c r="K43" s="77"/>
      <c r="L43" s="9"/>
      <c r="M43" s="30"/>
    </row>
    <row r="44" spans="1:13" x14ac:dyDescent="0.25">
      <c r="A44" s="3"/>
      <c r="B44" s="3"/>
      <c r="C44" s="30"/>
      <c r="D44" s="9"/>
      <c r="E44" s="31"/>
      <c r="F44" s="9"/>
      <c r="G44" s="9"/>
      <c r="H44" s="9"/>
      <c r="I44" s="32"/>
      <c r="J44" s="2"/>
      <c r="K44" s="77"/>
      <c r="L44" s="9"/>
      <c r="M44" s="30"/>
    </row>
    <row r="45" spans="1:13" x14ac:dyDescent="0.25">
      <c r="A45" s="3"/>
      <c r="B45" s="3"/>
      <c r="C45" s="30"/>
      <c r="D45" s="9"/>
      <c r="E45" s="31"/>
      <c r="F45" s="9"/>
      <c r="G45" s="9"/>
      <c r="H45" s="9"/>
      <c r="I45" s="32"/>
      <c r="J45" s="2"/>
      <c r="K45" s="77"/>
      <c r="L45" s="9"/>
      <c r="M45" s="30"/>
    </row>
    <row r="46" spans="1:13" x14ac:dyDescent="0.25">
      <c r="A46" s="3"/>
      <c r="B46" s="3"/>
      <c r="C46" s="30"/>
      <c r="D46" s="9"/>
      <c r="E46" s="31"/>
      <c r="F46" s="9"/>
      <c r="G46" s="9"/>
      <c r="H46" s="9"/>
      <c r="I46" s="32"/>
      <c r="J46" s="2"/>
      <c r="K46" s="77"/>
      <c r="L46" s="9"/>
      <c r="M46" s="30"/>
    </row>
    <row r="47" spans="1:13" x14ac:dyDescent="0.25">
      <c r="A47" s="3"/>
      <c r="B47" s="3"/>
      <c r="C47" s="30"/>
      <c r="D47" s="9"/>
      <c r="E47" s="31"/>
      <c r="F47" s="9"/>
      <c r="G47" s="9"/>
      <c r="H47" s="9"/>
      <c r="I47" s="32"/>
      <c r="J47" s="2"/>
      <c r="K47" s="77"/>
      <c r="L47" s="9"/>
      <c r="M47" s="30"/>
    </row>
    <row r="48" spans="1:13" x14ac:dyDescent="0.25">
      <c r="A48" s="3"/>
      <c r="B48" s="3"/>
      <c r="C48" s="30"/>
      <c r="D48" s="9"/>
      <c r="E48" s="31"/>
      <c r="F48" s="9"/>
      <c r="G48" s="9"/>
      <c r="H48" s="9"/>
      <c r="I48" s="32"/>
      <c r="J48" s="2"/>
      <c r="K48" s="77"/>
      <c r="L48" s="9"/>
      <c r="M48" s="30"/>
    </row>
    <row r="49" spans="1:13" x14ac:dyDescent="0.25">
      <c r="A49" s="3"/>
      <c r="B49" s="3"/>
      <c r="C49" s="30"/>
      <c r="D49" s="9"/>
      <c r="E49" s="9"/>
      <c r="F49" s="9"/>
      <c r="G49" s="9"/>
      <c r="H49" s="9"/>
      <c r="I49" s="32"/>
      <c r="J49" s="2"/>
      <c r="K49" s="77"/>
      <c r="L49" s="9"/>
      <c r="M49" s="30"/>
    </row>
    <row r="50" spans="1:13" x14ac:dyDescent="0.25">
      <c r="A50" s="3"/>
      <c r="B50" s="3"/>
      <c r="C50" s="30"/>
      <c r="D50" s="9"/>
      <c r="E50" s="9"/>
      <c r="F50" s="9"/>
      <c r="G50" s="9"/>
      <c r="H50" s="9"/>
      <c r="I50" s="32"/>
      <c r="J50" s="2"/>
      <c r="K50" s="77"/>
      <c r="L50" s="9"/>
      <c r="M50" s="30"/>
    </row>
    <row r="51" spans="1:13" x14ac:dyDescent="0.25">
      <c r="C51" s="30"/>
      <c r="D51" s="9"/>
      <c r="E51" s="9"/>
      <c r="F51" s="9"/>
      <c r="G51" s="9"/>
      <c r="H51" s="9"/>
      <c r="I51" s="32"/>
      <c r="J51" s="2"/>
      <c r="K51" s="9"/>
      <c r="L51" s="9"/>
      <c r="M51" s="30"/>
    </row>
    <row r="52" spans="1:13" x14ac:dyDescent="0.25">
      <c r="C52" s="30"/>
      <c r="D52" s="9"/>
      <c r="E52" s="9"/>
      <c r="F52" s="9"/>
      <c r="G52" s="9"/>
      <c r="H52" s="9"/>
      <c r="I52" s="32"/>
      <c r="J52" s="2"/>
      <c r="K52" s="9"/>
      <c r="L52" s="9"/>
      <c r="M52" s="30"/>
    </row>
    <row r="53" spans="1:13" x14ac:dyDescent="0.25">
      <c r="C53" s="30"/>
      <c r="D53" s="9"/>
      <c r="E53" s="9"/>
      <c r="F53" s="9"/>
      <c r="G53" s="9"/>
      <c r="H53" s="9"/>
      <c r="I53" s="9"/>
      <c r="J53" s="9"/>
      <c r="K53" s="9"/>
      <c r="L53" s="9"/>
      <c r="M53" s="30"/>
    </row>
    <row r="54" spans="1:13" x14ac:dyDescent="0.25">
      <c r="D54" s="9"/>
      <c r="E54" s="9"/>
      <c r="F54" s="9"/>
      <c r="G54" s="9"/>
      <c r="H54" s="9"/>
      <c r="I54" s="9"/>
      <c r="J54" s="9"/>
      <c r="K54" s="9"/>
      <c r="L54" s="9"/>
    </row>
    <row r="55" spans="1:13" x14ac:dyDescent="0.25">
      <c r="D55" s="9"/>
      <c r="E55" s="9"/>
      <c r="F55" s="9"/>
      <c r="G55" s="9"/>
      <c r="H55" s="9"/>
      <c r="I55" s="9"/>
      <c r="J55" s="9"/>
      <c r="K55" s="9"/>
      <c r="L55" s="9"/>
    </row>
    <row r="56" spans="1:13" x14ac:dyDescent="0.25">
      <c r="D56" s="9"/>
      <c r="E56" s="9"/>
      <c r="F56" s="9"/>
      <c r="G56" s="9"/>
      <c r="H56" s="9"/>
      <c r="I56" s="9"/>
      <c r="J56" s="9"/>
      <c r="K56" s="9"/>
      <c r="L56" s="9"/>
    </row>
    <row r="57" spans="1:13" x14ac:dyDescent="0.25">
      <c r="D57" s="9"/>
      <c r="E57" s="9"/>
      <c r="F57" s="9"/>
      <c r="G57" s="9"/>
      <c r="H57" s="9"/>
      <c r="I57" s="9"/>
      <c r="J57" s="9"/>
      <c r="K57" s="9"/>
      <c r="L57" s="9"/>
    </row>
    <row r="58" spans="1:13" x14ac:dyDescent="0.25">
      <c r="D58" s="9"/>
      <c r="E58" s="9"/>
      <c r="F58" s="9"/>
      <c r="G58" s="9"/>
      <c r="H58" s="9"/>
      <c r="I58" s="9"/>
      <c r="J58" s="9"/>
      <c r="K58" s="9"/>
      <c r="L58" s="9"/>
    </row>
    <row r="59" spans="1:13" x14ac:dyDescent="0.25">
      <c r="D59" s="9"/>
      <c r="E59" s="9"/>
      <c r="F59" s="9"/>
      <c r="G59" s="9"/>
      <c r="H59" s="9"/>
      <c r="I59" s="9"/>
      <c r="J59" s="9"/>
      <c r="K59" s="9"/>
      <c r="L59" s="9"/>
    </row>
    <row r="60" spans="1:13" x14ac:dyDescent="0.25">
      <c r="D60" s="9"/>
      <c r="E60" s="9"/>
      <c r="F60" s="9"/>
      <c r="G60" s="9"/>
      <c r="H60" s="9"/>
      <c r="I60" s="9"/>
      <c r="J60" s="9"/>
      <c r="K60" s="9"/>
      <c r="L60" s="9"/>
    </row>
    <row r="61" spans="1:13" x14ac:dyDescent="0.25">
      <c r="D61" s="9"/>
      <c r="E61" s="9"/>
      <c r="F61" s="9"/>
      <c r="G61" s="9"/>
      <c r="H61" s="9"/>
      <c r="I61" s="9"/>
      <c r="J61" s="9"/>
      <c r="K61" s="9"/>
      <c r="L61" s="9"/>
    </row>
    <row r="62" spans="1:13" x14ac:dyDescent="0.25">
      <c r="D62" s="9"/>
      <c r="E62" s="9"/>
      <c r="F62" s="9"/>
      <c r="G62" s="9"/>
      <c r="H62" s="9"/>
      <c r="I62" s="9"/>
      <c r="J62" s="9"/>
      <c r="K62" s="9"/>
      <c r="L62" s="9"/>
    </row>
    <row r="63" spans="1:13" x14ac:dyDescent="0.25">
      <c r="D63" s="9"/>
      <c r="E63" s="9"/>
      <c r="F63" s="9"/>
      <c r="G63" s="9"/>
      <c r="H63" s="9"/>
      <c r="I63" s="9"/>
      <c r="J63" s="9"/>
      <c r="K63" s="9"/>
      <c r="L63" s="9"/>
    </row>
    <row r="64" spans="1:13" x14ac:dyDescent="0.25">
      <c r="D64" s="9"/>
      <c r="E64" s="9"/>
      <c r="F64" s="9"/>
      <c r="G64" s="9"/>
      <c r="H64" s="9"/>
      <c r="I64" s="9"/>
      <c r="J64" s="9"/>
      <c r="K64" s="9"/>
      <c r="L64" s="9"/>
    </row>
    <row r="65" spans="4:12" x14ac:dyDescent="0.25">
      <c r="D65" s="9"/>
      <c r="E65" s="9"/>
      <c r="F65" s="9"/>
      <c r="G65" s="9"/>
      <c r="H65" s="9"/>
      <c r="I65" s="9"/>
      <c r="J65" s="9"/>
      <c r="K65" s="9"/>
      <c r="L65" s="9"/>
    </row>
  </sheetData>
  <sheetProtection algorithmName="SHA-512" hashValue="Agk6ZRWZJe0LPTNZ5lQJEtOnOmMh0QB3oLwssrnBVV5rQZ7ttbOLyQpbEfNNGYaA9JL0M8mBFWh15ua6w3wKNw==" saltValue="WiajDiQWlss/nsLlbVkVJw==" spinCount="100000" sheet="1" formatCells="0" formatRows="0" selectLockedCells="1"/>
  <mergeCells count="34">
    <mergeCell ref="K1:L1"/>
    <mergeCell ref="C2:E2"/>
    <mergeCell ref="C3:E3"/>
    <mergeCell ref="L20:M20"/>
    <mergeCell ref="F1:J3"/>
    <mergeCell ref="A5:E6"/>
    <mergeCell ref="G5:J5"/>
    <mergeCell ref="G6:M7"/>
    <mergeCell ref="B7:E7"/>
    <mergeCell ref="B8:E8"/>
    <mergeCell ref="B9:E9"/>
    <mergeCell ref="B10:E10"/>
    <mergeCell ref="B11:E11"/>
    <mergeCell ref="G24:H24"/>
    <mergeCell ref="G25:H25"/>
    <mergeCell ref="C1:E1"/>
    <mergeCell ref="G32:H32"/>
    <mergeCell ref="A15:B15"/>
    <mergeCell ref="G33:H33"/>
    <mergeCell ref="A32:A34"/>
    <mergeCell ref="A14:B14"/>
    <mergeCell ref="B12:E12"/>
    <mergeCell ref="A1:B1"/>
    <mergeCell ref="G34:H34"/>
    <mergeCell ref="G21:H21"/>
    <mergeCell ref="C14:E14"/>
    <mergeCell ref="C15:E15"/>
    <mergeCell ref="A16:E19"/>
    <mergeCell ref="G29:H29"/>
    <mergeCell ref="G30:H30"/>
    <mergeCell ref="G8:M19"/>
    <mergeCell ref="A22:A25"/>
    <mergeCell ref="A27:A30"/>
    <mergeCell ref="G28:H28"/>
  </mergeCells>
  <dataValidations count="2">
    <dataValidation type="list" allowBlank="1" showInputMessage="1" showErrorMessage="1" sqref="H27" xr:uid="{00000000-0002-0000-1500-000000000000}">
      <formula1>$U$28:$U$32</formula1>
    </dataValidation>
    <dataValidation type="list" allowBlank="1" showInputMessage="1" showErrorMessage="1" sqref="H23" xr:uid="{00000000-0002-0000-1500-000001000000}">
      <formula1>$T$2:$T$6</formula1>
    </dataValidation>
  </dataValidations>
  <pageMargins left="0.70866141732283472" right="0.70866141732283472" top="0.74803149606299213" bottom="0.74803149606299213" header="0.31496062992125984" footer="0.31496062992125984"/>
  <pageSetup paperSize="9" scale="54" fitToHeight="3" orientation="landscape" r:id="rId1"/>
  <headerFooter>
    <oddHeader>&amp;LDepartment for Energy and Mining&amp;C&amp;"Arial"&amp;12&amp;KA80000 OFFICIAL&amp;1#_x000D_</oddHeader>
    <oddFooter>&amp;L&amp;Z
&amp;F&amp;C&amp;P&amp;R&amp;D</oddFooter>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pageSetUpPr fitToPage="1"/>
  </sheetPr>
  <dimension ref="A1:AC86"/>
  <sheetViews>
    <sheetView showGridLines="0" zoomScale="90" zoomScaleNormal="90" workbookViewId="0">
      <selection activeCell="G8" sqref="G8:M19"/>
    </sheetView>
  </sheetViews>
  <sheetFormatPr defaultRowHeight="15" x14ac:dyDescent="0.25"/>
  <cols>
    <col min="1" max="1" width="21.140625" customWidth="1"/>
    <col min="2" max="2" width="11.5703125" style="56" customWidth="1"/>
    <col min="3" max="3" width="38.42578125" customWidth="1"/>
    <col min="4" max="4" width="13.5703125" customWidth="1"/>
    <col min="5" max="5" width="11.28515625" customWidth="1"/>
    <col min="6" max="6" width="10.28515625" customWidth="1"/>
    <col min="7" max="7" width="24.28515625" customWidth="1"/>
    <col min="8" max="8" width="15" customWidth="1"/>
    <col min="9" max="9" width="13.5703125" customWidth="1"/>
    <col min="10" max="10" width="12.140625" customWidth="1"/>
    <col min="11" max="11" width="16.7109375" customWidth="1"/>
    <col min="12" max="12" width="13.5703125" customWidth="1"/>
    <col min="13" max="13" width="63.85546875" customWidth="1"/>
    <col min="17" max="17" width="11.7109375" customWidth="1"/>
    <col min="18" max="18" width="12.42578125" customWidth="1"/>
    <col min="19" max="19" width="11" customWidth="1"/>
    <col min="20" max="20" width="15.28515625" customWidth="1"/>
    <col min="21" max="21" width="13.140625" customWidth="1"/>
    <col min="22" max="22" width="12" customWidth="1"/>
  </cols>
  <sheetData>
    <row r="1" spans="1:29" ht="54" customHeight="1" x14ac:dyDescent="0.3">
      <c r="A1" s="1322" t="s">
        <v>515</v>
      </c>
      <c r="B1" s="1323"/>
      <c r="C1" s="1324" t="str">
        <f>'Summary Page'!E13</f>
        <v/>
      </c>
      <c r="D1" s="1325"/>
      <c r="E1" s="1326"/>
      <c r="F1" s="1360"/>
      <c r="G1" s="1285"/>
      <c r="H1" s="1285"/>
      <c r="I1" s="1285"/>
      <c r="J1" s="1286"/>
      <c r="K1" s="1295" t="s">
        <v>460</v>
      </c>
      <c r="L1" s="1295"/>
      <c r="M1" s="404"/>
      <c r="P1" s="525" t="str">
        <f>B37</f>
        <v>A1006</v>
      </c>
      <c r="Q1" s="526" t="s">
        <v>19</v>
      </c>
      <c r="R1" s="1273" t="s">
        <v>893</v>
      </c>
      <c r="S1" s="1274"/>
      <c r="T1" s="1274"/>
      <c r="U1" s="1274"/>
      <c r="V1" s="1275"/>
      <c r="AA1" s="276" t="s">
        <v>397</v>
      </c>
      <c r="AB1" s="280"/>
      <c r="AC1" s="280"/>
    </row>
    <row r="2" spans="1:29" ht="30" x14ac:dyDescent="0.35">
      <c r="A2" s="368" t="s">
        <v>461</v>
      </c>
      <c r="B2" s="325">
        <v>10</v>
      </c>
      <c r="C2" s="1296" t="str">
        <f>'Summary Page'!E19</f>
        <v/>
      </c>
      <c r="D2" s="1297"/>
      <c r="E2" s="1348"/>
      <c r="F2" s="1287"/>
      <c r="G2" s="1288"/>
      <c r="H2" s="1288"/>
      <c r="I2" s="1288"/>
      <c r="J2" s="1289"/>
      <c r="K2" s="326"/>
      <c r="L2" s="327" t="s">
        <v>152</v>
      </c>
      <c r="M2" s="328">
        <f>K58</f>
        <v>0</v>
      </c>
      <c r="P2" s="297" t="s">
        <v>61</v>
      </c>
      <c r="Q2" s="371" t="s">
        <v>58</v>
      </c>
      <c r="R2" s="371" t="s">
        <v>59</v>
      </c>
      <c r="S2" s="371" t="s">
        <v>60</v>
      </c>
      <c r="T2" s="371" t="s">
        <v>53</v>
      </c>
      <c r="U2" s="372" t="s">
        <v>61</v>
      </c>
      <c r="V2" s="373" t="s">
        <v>53</v>
      </c>
      <c r="AA2" s="503" t="s">
        <v>395</v>
      </c>
      <c r="AB2" s="512" t="s">
        <v>936</v>
      </c>
      <c r="AC2" s="233"/>
    </row>
    <row r="3" spans="1:29" ht="21" x14ac:dyDescent="0.25">
      <c r="A3" s="329" t="s">
        <v>267</v>
      </c>
      <c r="B3" s="477">
        <f>'Version Control'!B50</f>
        <v>7</v>
      </c>
      <c r="C3" s="1356"/>
      <c r="D3" s="1357"/>
      <c r="E3" s="1358"/>
      <c r="F3" s="1290"/>
      <c r="G3" s="1291"/>
      <c r="H3" s="1291"/>
      <c r="I3" s="1291"/>
      <c r="J3" s="1292"/>
      <c r="K3" s="331"/>
      <c r="L3" s="332" t="s">
        <v>462</v>
      </c>
      <c r="M3" s="333">
        <f>'Summary Page'!J73</f>
        <v>0</v>
      </c>
      <c r="P3" s="374" t="s">
        <v>35</v>
      </c>
      <c r="Q3" s="357">
        <f>VLOOKUP(P1,Activities!$A$10:$Q$152,16,FALSE)</f>
        <v>1.1086505828514972</v>
      </c>
      <c r="R3" s="357">
        <f>VLOOKUP(Q1,Activities!$A$10:$Q$152,16,FALSE)</f>
        <v>1.1303836975020005</v>
      </c>
      <c r="S3" s="376">
        <v>1</v>
      </c>
      <c r="T3" s="375">
        <f>R3+Q3</f>
        <v>2.2390342803534979</v>
      </c>
      <c r="U3" s="235" t="s">
        <v>35</v>
      </c>
      <c r="V3" s="377">
        <f>T3</f>
        <v>2.2390342803534979</v>
      </c>
      <c r="AA3" s="511"/>
      <c r="AB3" s="512"/>
      <c r="AC3" s="451" t="s">
        <v>700</v>
      </c>
    </row>
    <row r="4" spans="1:29" ht="15" customHeight="1" x14ac:dyDescent="0.25">
      <c r="A4" s="334" t="s">
        <v>463</v>
      </c>
      <c r="B4" s="478">
        <f>'Version Control'!A50</f>
        <v>45531</v>
      </c>
      <c r="C4" s="233"/>
      <c r="D4" s="233"/>
      <c r="E4" s="233"/>
      <c r="F4" s="233"/>
      <c r="G4" s="233"/>
      <c r="H4" s="233"/>
      <c r="I4" s="233"/>
      <c r="J4" s="233"/>
      <c r="K4" s="294"/>
      <c r="L4" s="336" t="s">
        <v>464</v>
      </c>
      <c r="M4" s="337" t="e">
        <f>M2/M3</f>
        <v>#DIV/0!</v>
      </c>
      <c r="P4" s="374" t="s">
        <v>36</v>
      </c>
      <c r="Q4" s="375">
        <f>Q3</f>
        <v>1.1086505828514972</v>
      </c>
      <c r="R4" s="375">
        <f>R3*2</f>
        <v>2.260767395004001</v>
      </c>
      <c r="S4" s="376">
        <v>0.8</v>
      </c>
      <c r="T4" s="375">
        <f>Q4+(R4*S4)</f>
        <v>2.9172644988546983</v>
      </c>
      <c r="U4" s="235" t="s">
        <v>36</v>
      </c>
      <c r="V4" s="377">
        <f>T4</f>
        <v>2.9172644988546983</v>
      </c>
      <c r="AA4" s="362" t="s">
        <v>648</v>
      </c>
      <c r="AB4" s="357"/>
      <c r="AC4" s="357">
        <f>VLOOKUP(AA2,Activities!$A$10:$Q$152,16,FALSE)</f>
        <v>83.477353390123142</v>
      </c>
    </row>
    <row r="5" spans="1:29" ht="15" customHeight="1" x14ac:dyDescent="0.25">
      <c r="A5" s="1349" t="s">
        <v>465</v>
      </c>
      <c r="B5" s="1298"/>
      <c r="C5" s="1298"/>
      <c r="D5" s="1298"/>
      <c r="E5" s="1299"/>
      <c r="F5" s="233"/>
      <c r="G5" s="1302" t="s">
        <v>466</v>
      </c>
      <c r="H5" s="1303"/>
      <c r="I5" s="1303"/>
      <c r="J5" s="1304"/>
      <c r="K5" s="233"/>
      <c r="L5" s="233"/>
      <c r="M5" s="233"/>
      <c r="P5" s="374" t="s">
        <v>37</v>
      </c>
      <c r="Q5" s="375">
        <f t="shared" ref="Q5:Q6" si="0">Q4</f>
        <v>1.1086505828514972</v>
      </c>
      <c r="R5" s="375">
        <f>R3*4</f>
        <v>4.5215347900080021</v>
      </c>
      <c r="S5" s="376">
        <v>0.7</v>
      </c>
      <c r="T5" s="375">
        <f>Q5+(R5*S5)</f>
        <v>4.2737249358570981</v>
      </c>
      <c r="U5" s="235" t="s">
        <v>37</v>
      </c>
      <c r="V5" s="377">
        <f>T5</f>
        <v>4.2737249358570981</v>
      </c>
    </row>
    <row r="6" spans="1:29" ht="21" customHeight="1" x14ac:dyDescent="0.25">
      <c r="A6" s="1350"/>
      <c r="B6" s="1351"/>
      <c r="C6" s="1351"/>
      <c r="D6" s="1351"/>
      <c r="E6" s="1352"/>
      <c r="F6" s="299"/>
      <c r="G6" s="1305" t="s">
        <v>484</v>
      </c>
      <c r="H6" s="1306"/>
      <c r="I6" s="1306"/>
      <c r="J6" s="1306"/>
      <c r="K6" s="1306"/>
      <c r="L6" s="1306"/>
      <c r="M6" s="1307"/>
      <c r="P6" s="374" t="s">
        <v>38</v>
      </c>
      <c r="Q6" s="375">
        <f t="shared" si="0"/>
        <v>1.1086505828514972</v>
      </c>
      <c r="R6" s="375">
        <f>R3*8</f>
        <v>9.0430695800160041</v>
      </c>
      <c r="S6" s="376">
        <v>0.6</v>
      </c>
      <c r="T6" s="375">
        <f>Q6+(R6*S6)</f>
        <v>6.5344923308610987</v>
      </c>
      <c r="U6" s="235" t="s">
        <v>244</v>
      </c>
      <c r="V6" s="377">
        <f>T6</f>
        <v>6.5344923308610987</v>
      </c>
      <c r="AA6" s="503" t="s">
        <v>396</v>
      </c>
      <c r="AB6" s="512" t="s">
        <v>935</v>
      </c>
      <c r="AC6" s="233"/>
    </row>
    <row r="7" spans="1:29" ht="15" customHeight="1" x14ac:dyDescent="0.25">
      <c r="A7" s="348">
        <v>1</v>
      </c>
      <c r="B7" s="1353" t="s">
        <v>519</v>
      </c>
      <c r="C7" s="1354"/>
      <c r="D7" s="1354"/>
      <c r="E7" s="1355"/>
      <c r="F7" s="339"/>
      <c r="G7" s="1308"/>
      <c r="H7" s="1309"/>
      <c r="I7" s="1309"/>
      <c r="J7" s="1309"/>
      <c r="K7" s="1309"/>
      <c r="L7" s="1309"/>
      <c r="M7" s="1310"/>
      <c r="P7" s="238"/>
      <c r="Q7" s="236"/>
      <c r="R7" s="236"/>
      <c r="S7" s="236"/>
      <c r="T7" s="236"/>
      <c r="U7" s="236" t="s">
        <v>264</v>
      </c>
      <c r="V7" s="237"/>
      <c r="AA7" s="508" t="s">
        <v>61</v>
      </c>
      <c r="AB7" s="509" t="s">
        <v>648</v>
      </c>
      <c r="AC7" s="508" t="s">
        <v>140</v>
      </c>
    </row>
    <row r="8" spans="1:29" ht="18.75" customHeight="1" x14ac:dyDescent="0.25">
      <c r="A8" s="297">
        <v>2</v>
      </c>
      <c r="B8" s="1340" t="s">
        <v>579</v>
      </c>
      <c r="C8" s="1341"/>
      <c r="D8" s="1341"/>
      <c r="E8" s="1342"/>
      <c r="F8" s="339"/>
      <c r="G8" s="1137"/>
      <c r="H8" s="1138"/>
      <c r="I8" s="1138"/>
      <c r="J8" s="1138"/>
      <c r="K8" s="1138"/>
      <c r="L8" s="1138"/>
      <c r="M8" s="1139"/>
      <c r="P8" s="233"/>
      <c r="Q8" s="233"/>
      <c r="R8" s="233"/>
      <c r="S8" s="233"/>
      <c r="T8" s="233"/>
      <c r="U8" s="233"/>
      <c r="V8" s="233"/>
      <c r="AA8" s="462" t="s">
        <v>54</v>
      </c>
      <c r="AB8" s="509" t="s">
        <v>700</v>
      </c>
      <c r="AC8" s="462"/>
    </row>
    <row r="9" spans="1:29" ht="15.75" customHeight="1" x14ac:dyDescent="0.25">
      <c r="A9" s="297">
        <v>3</v>
      </c>
      <c r="B9" s="1343" t="s">
        <v>520</v>
      </c>
      <c r="C9" s="1344"/>
      <c r="D9" s="1344"/>
      <c r="E9" s="1345"/>
      <c r="F9" s="339"/>
      <c r="G9" s="1140"/>
      <c r="H9" s="1141"/>
      <c r="I9" s="1141"/>
      <c r="J9" s="1141"/>
      <c r="K9" s="1141"/>
      <c r="L9" s="1141"/>
      <c r="M9" s="1142"/>
      <c r="P9" s="525" t="str">
        <f>B39</f>
        <v>A1013</v>
      </c>
      <c r="Q9" s="526" t="s">
        <v>19</v>
      </c>
      <c r="R9" s="1273" t="s">
        <v>72</v>
      </c>
      <c r="S9" s="1274"/>
      <c r="T9" s="1274"/>
      <c r="U9" s="1274"/>
      <c r="V9" s="1275"/>
      <c r="AA9" s="461">
        <v>25</v>
      </c>
      <c r="AB9" s="510">
        <f>VLOOKUP(AA6,Activities!A10:Q152,16,FALSE)</f>
        <v>9.0925833525454216</v>
      </c>
      <c r="AC9" s="461">
        <v>1</v>
      </c>
    </row>
    <row r="10" spans="1:29" ht="15" customHeight="1" x14ac:dyDescent="0.25">
      <c r="A10" s="297">
        <v>4</v>
      </c>
      <c r="B10" s="1327"/>
      <c r="C10" s="1327"/>
      <c r="D10" s="1327"/>
      <c r="E10" s="1328"/>
      <c r="F10" s="339"/>
      <c r="G10" s="1140"/>
      <c r="H10" s="1141"/>
      <c r="I10" s="1141"/>
      <c r="J10" s="1141"/>
      <c r="K10" s="1141"/>
      <c r="L10" s="1141"/>
      <c r="M10" s="1142"/>
      <c r="P10" s="297" t="s">
        <v>61</v>
      </c>
      <c r="Q10" s="371" t="s">
        <v>58</v>
      </c>
      <c r="R10" s="371" t="s">
        <v>59</v>
      </c>
      <c r="S10" s="371" t="s">
        <v>60</v>
      </c>
      <c r="T10" s="371" t="s">
        <v>53</v>
      </c>
      <c r="U10" s="372" t="s">
        <v>61</v>
      </c>
      <c r="V10" s="373" t="s">
        <v>53</v>
      </c>
      <c r="AA10" s="461">
        <v>50</v>
      </c>
      <c r="AB10" s="510">
        <f>AB$9*AC10</f>
        <v>13.086705201305357</v>
      </c>
      <c r="AC10" s="461">
        <v>1.4392725030826141</v>
      </c>
    </row>
    <row r="11" spans="1:29" ht="15" customHeight="1" x14ac:dyDescent="0.25">
      <c r="A11" s="297">
        <v>5</v>
      </c>
      <c r="B11" s="1330"/>
      <c r="C11" s="1331"/>
      <c r="D11" s="1331"/>
      <c r="E11" s="1332"/>
      <c r="F11" s="339"/>
      <c r="G11" s="1140"/>
      <c r="H11" s="1141"/>
      <c r="I11" s="1141"/>
      <c r="J11" s="1141"/>
      <c r="K11" s="1141"/>
      <c r="L11" s="1141"/>
      <c r="M11" s="1142"/>
      <c r="P11" s="374" t="s">
        <v>35</v>
      </c>
      <c r="Q11" s="357">
        <f>VLOOKUP(P9,Activities!$A$10:$Q$152,16,FALSE)</f>
        <v>1.4289323610931841</v>
      </c>
      <c r="R11" s="357">
        <f>VLOOKUP(Q9,Activities!$A$10:$Q$152,16,FALSE)</f>
        <v>1.1303836975020005</v>
      </c>
      <c r="S11" s="376">
        <v>1</v>
      </c>
      <c r="T11" s="375">
        <f>R11+Q11</f>
        <v>2.5593160585951846</v>
      </c>
      <c r="U11" s="235" t="s">
        <v>35</v>
      </c>
      <c r="V11" s="377">
        <f>T11</f>
        <v>2.5593160585951846</v>
      </c>
      <c r="AA11" s="461">
        <v>100</v>
      </c>
      <c r="AB11" s="510">
        <f>AB$9*AC11</f>
        <v>21.074948898825227</v>
      </c>
      <c r="AC11" s="461">
        <v>2.3178175092478424</v>
      </c>
    </row>
    <row r="12" spans="1:29" ht="15" customHeight="1" x14ac:dyDescent="0.25">
      <c r="A12" s="305">
        <v>6</v>
      </c>
      <c r="B12" s="1346"/>
      <c r="C12" s="1346"/>
      <c r="D12" s="1346"/>
      <c r="E12" s="1347"/>
      <c r="F12" s="233"/>
      <c r="G12" s="1140"/>
      <c r="H12" s="1141"/>
      <c r="I12" s="1141"/>
      <c r="J12" s="1141"/>
      <c r="K12" s="1141"/>
      <c r="L12" s="1141"/>
      <c r="M12" s="1142"/>
      <c r="P12" s="374" t="s">
        <v>36</v>
      </c>
      <c r="Q12" s="375">
        <f>Q11</f>
        <v>1.4289323610931841</v>
      </c>
      <c r="R12" s="375">
        <f>R11*2</f>
        <v>2.260767395004001</v>
      </c>
      <c r="S12" s="376">
        <v>0.8</v>
      </c>
      <c r="T12" s="375">
        <f>Q12+(R12*S12)</f>
        <v>3.237546277096385</v>
      </c>
      <c r="U12" s="235" t="s">
        <v>36</v>
      </c>
      <c r="V12" s="377">
        <f>T12</f>
        <v>3.237546277096385</v>
      </c>
      <c r="AA12" s="461">
        <v>200</v>
      </c>
      <c r="AB12" s="510">
        <f>AB$9*AC12</f>
        <v>37.05143629386496</v>
      </c>
      <c r="AC12" s="461">
        <v>4.0749075215782984</v>
      </c>
    </row>
    <row r="13" spans="1:29" ht="15" customHeight="1" x14ac:dyDescent="0.25">
      <c r="A13" s="340" t="s">
        <v>34</v>
      </c>
      <c r="B13" s="340"/>
      <c r="C13" s="233"/>
      <c r="D13" s="233"/>
      <c r="E13" s="233"/>
      <c r="F13" s="233"/>
      <c r="G13" s="1140"/>
      <c r="H13" s="1141"/>
      <c r="I13" s="1141"/>
      <c r="J13" s="1141"/>
      <c r="K13" s="1141"/>
      <c r="L13" s="1141"/>
      <c r="M13" s="1142"/>
      <c r="P13" s="374" t="s">
        <v>37</v>
      </c>
      <c r="Q13" s="375">
        <f t="shared" ref="Q13:Q14" si="1">Q12</f>
        <v>1.4289323610931841</v>
      </c>
      <c r="R13" s="375">
        <f>R11*4</f>
        <v>4.5215347900080021</v>
      </c>
      <c r="S13" s="376">
        <v>0.7</v>
      </c>
      <c r="T13" s="375">
        <f>Q13+(R13*S13)</f>
        <v>4.5940067140987857</v>
      </c>
      <c r="U13" s="235" t="s">
        <v>37</v>
      </c>
      <c r="V13" s="377">
        <f>T13</f>
        <v>4.5940067140987857</v>
      </c>
      <c r="AA13" s="461">
        <v>300</v>
      </c>
      <c r="AB13" s="510">
        <f>AB$9*AC13</f>
        <v>53.0279236889047</v>
      </c>
      <c r="AC13" s="461">
        <v>5.8319975339087549</v>
      </c>
    </row>
    <row r="14" spans="1:29" ht="15" customHeight="1" x14ac:dyDescent="0.25">
      <c r="A14" s="1276"/>
      <c r="B14" s="1277"/>
      <c r="C14" s="1278" t="s">
        <v>352</v>
      </c>
      <c r="D14" s="1278"/>
      <c r="E14" s="1279"/>
      <c r="F14" s="233"/>
      <c r="G14" s="1140"/>
      <c r="H14" s="1141"/>
      <c r="I14" s="1141"/>
      <c r="J14" s="1141"/>
      <c r="K14" s="1141"/>
      <c r="L14" s="1141"/>
      <c r="M14" s="1142"/>
      <c r="P14" s="374" t="s">
        <v>38</v>
      </c>
      <c r="Q14" s="375">
        <f t="shared" si="1"/>
        <v>1.4289323610931841</v>
      </c>
      <c r="R14" s="375">
        <f>R11*8</f>
        <v>9.0430695800160041</v>
      </c>
      <c r="S14" s="376">
        <v>0.6</v>
      </c>
      <c r="T14" s="375">
        <f>Q14+(R14*S14)</f>
        <v>6.8547741091027863</v>
      </c>
      <c r="U14" s="235" t="s">
        <v>244</v>
      </c>
      <c r="V14" s="377">
        <f>T14</f>
        <v>6.8547741091027863</v>
      </c>
      <c r="AA14" s="461">
        <v>400</v>
      </c>
      <c r="AB14" s="510">
        <f>AB$9*AC14</f>
        <v>69.004411083944447</v>
      </c>
      <c r="AC14" s="461">
        <v>7.5890875462392131</v>
      </c>
    </row>
    <row r="15" spans="1:29" x14ac:dyDescent="0.25">
      <c r="A15" s="1201"/>
      <c r="B15" s="1202"/>
      <c r="C15" s="1280" t="s">
        <v>467</v>
      </c>
      <c r="D15" s="1280"/>
      <c r="E15" s="1281"/>
      <c r="F15" s="233"/>
      <c r="G15" s="1140"/>
      <c r="H15" s="1141"/>
      <c r="I15" s="1141"/>
      <c r="J15" s="1141"/>
      <c r="K15" s="1141"/>
      <c r="L15" s="1141"/>
      <c r="M15" s="1142"/>
      <c r="P15" s="378"/>
      <c r="Q15" s="379"/>
      <c r="R15" s="379"/>
      <c r="S15" s="379"/>
      <c r="T15" s="379"/>
      <c r="U15" s="236" t="s">
        <v>264</v>
      </c>
      <c r="V15" s="380"/>
      <c r="AA15" s="233" t="s">
        <v>264</v>
      </c>
    </row>
    <row r="16" spans="1:29" ht="15" customHeight="1" x14ac:dyDescent="0.3">
      <c r="A16" s="1284" t="s">
        <v>824</v>
      </c>
      <c r="B16" s="1285"/>
      <c r="C16" s="1285"/>
      <c r="D16" s="1285"/>
      <c r="E16" s="1286"/>
      <c r="F16" s="233"/>
      <c r="G16" s="1140"/>
      <c r="H16" s="1141"/>
      <c r="I16" s="1141"/>
      <c r="J16" s="1141"/>
      <c r="K16" s="1141"/>
      <c r="L16" s="1141"/>
      <c r="M16" s="1142"/>
      <c r="P16" s="6"/>
    </row>
    <row r="17" spans="1:29" ht="15" customHeight="1" x14ac:dyDescent="0.3">
      <c r="A17" s="1287"/>
      <c r="B17" s="1288"/>
      <c r="C17" s="1288"/>
      <c r="D17" s="1288"/>
      <c r="E17" s="1289"/>
      <c r="F17" s="233"/>
      <c r="G17" s="1140"/>
      <c r="H17" s="1141"/>
      <c r="I17" s="1141"/>
      <c r="J17" s="1141"/>
      <c r="K17" s="1141"/>
      <c r="L17" s="1141"/>
      <c r="M17" s="1142"/>
      <c r="P17" s="6"/>
      <c r="AA17" s="56" t="s">
        <v>939</v>
      </c>
    </row>
    <row r="18" spans="1:29" ht="15" customHeight="1" x14ac:dyDescent="0.3">
      <c r="A18" s="1287"/>
      <c r="B18" s="1288"/>
      <c r="C18" s="1288"/>
      <c r="D18" s="1288"/>
      <c r="E18" s="1289"/>
      <c r="F18" s="233"/>
      <c r="G18" s="1140"/>
      <c r="H18" s="1141"/>
      <c r="I18" s="1141"/>
      <c r="J18" s="1141"/>
      <c r="K18" s="1141"/>
      <c r="L18" s="1141"/>
      <c r="M18" s="1142"/>
      <c r="P18" s="6"/>
      <c r="AA18" s="508" t="s">
        <v>61</v>
      </c>
      <c r="AB18" s="509" t="s">
        <v>648</v>
      </c>
    </row>
    <row r="19" spans="1:29" ht="15" customHeight="1" x14ac:dyDescent="0.3">
      <c r="A19" s="1290"/>
      <c r="B19" s="1291"/>
      <c r="C19" s="1291"/>
      <c r="D19" s="1291"/>
      <c r="E19" s="1292"/>
      <c r="F19" s="233"/>
      <c r="G19" s="1143"/>
      <c r="H19" s="1144"/>
      <c r="I19" s="1144"/>
      <c r="J19" s="1144"/>
      <c r="K19" s="1144"/>
      <c r="L19" s="1144"/>
      <c r="M19" s="1145"/>
      <c r="P19" s="6"/>
      <c r="AA19" s="462" t="s">
        <v>54</v>
      </c>
      <c r="AB19" s="509" t="s">
        <v>700</v>
      </c>
    </row>
    <row r="20" spans="1:29" ht="15" customHeight="1" x14ac:dyDescent="0.3">
      <c r="A20" s="233"/>
      <c r="B20" s="340"/>
      <c r="C20" s="233"/>
      <c r="D20" s="366"/>
      <c r="E20" s="233"/>
      <c r="F20" s="233"/>
      <c r="G20" s="233"/>
      <c r="H20" s="233"/>
      <c r="I20" s="233"/>
      <c r="J20" s="219"/>
      <c r="K20" s="367"/>
      <c r="L20" s="1291"/>
      <c r="M20" s="1292"/>
      <c r="P20" s="6"/>
      <c r="AA20" s="461">
        <v>25</v>
      </c>
      <c r="AB20" s="510">
        <f>AC$4+AB9</f>
        <v>92.56993674266856</v>
      </c>
    </row>
    <row r="21" spans="1:29" s="1" customFormat="1" ht="60.75" customHeight="1" thickBot="1" x14ac:dyDescent="0.3">
      <c r="A21" s="119" t="s">
        <v>39</v>
      </c>
      <c r="B21" s="120" t="s">
        <v>40</v>
      </c>
      <c r="C21" s="120" t="s">
        <v>479</v>
      </c>
      <c r="D21" s="311" t="s">
        <v>272</v>
      </c>
      <c r="E21" s="311" t="s">
        <v>43</v>
      </c>
      <c r="F21" s="120" t="s">
        <v>273</v>
      </c>
      <c r="G21" s="1212" t="s">
        <v>416</v>
      </c>
      <c r="H21" s="1212"/>
      <c r="I21" s="120" t="s">
        <v>45</v>
      </c>
      <c r="J21" s="312" t="s">
        <v>271</v>
      </c>
      <c r="K21" s="120" t="s">
        <v>47</v>
      </c>
      <c r="L21" s="120" t="s">
        <v>270</v>
      </c>
      <c r="M21" s="317" t="s">
        <v>415</v>
      </c>
      <c r="P21" s="503" t="s">
        <v>392</v>
      </c>
      <c r="Q21" s="1213" t="s">
        <v>394</v>
      </c>
      <c r="R21" s="1213"/>
      <c r="S21" s="1213"/>
      <c r="T21" s="1213"/>
      <c r="U21"/>
      <c r="V21"/>
      <c r="AA21" s="461">
        <v>50</v>
      </c>
      <c r="AB21" s="510">
        <f t="shared" ref="AB21:AB25" si="2">AC$4+AB10</f>
        <v>96.564058591428505</v>
      </c>
      <c r="AC21"/>
    </row>
    <row r="22" spans="1:29" s="1" customFormat="1" ht="48.75" thickBot="1" x14ac:dyDescent="0.3">
      <c r="A22" s="1391" t="s">
        <v>76</v>
      </c>
      <c r="B22" s="102" t="s">
        <v>228</v>
      </c>
      <c r="C22" s="259" t="str">
        <f>VLOOKUP($B22,Activities!$A$10:$P$152,3,FALSE)</f>
        <v>Disconnection of Services to Area</v>
      </c>
      <c r="D22" s="239" t="s">
        <v>49</v>
      </c>
      <c r="E22" s="320"/>
      <c r="F22" s="246" t="str">
        <f>VLOOKUP($B22,Activities!$A$10:$P$152,4,FALSE)</f>
        <v>Item</v>
      </c>
      <c r="G22" s="1269"/>
      <c r="H22" s="1270"/>
      <c r="I22" s="273">
        <f>VLOOKUP($B22,Activities!$A$10:$S$152,16,FALSE)</f>
        <v>3678.6008957627482</v>
      </c>
      <c r="J22" s="269"/>
      <c r="K22" s="388">
        <f t="shared" ref="K22" si="3">IF(D22="Y",IF(J22="",I22*E22,J22*E22),0)</f>
        <v>0</v>
      </c>
      <c r="L22" s="248" t="str">
        <f t="shared" ref="L22" si="4">IFERROR(IF(D22="Y",K22/$K$62,0%),"0.0%")</f>
        <v>0.0%</v>
      </c>
      <c r="M22" s="290" t="str">
        <f>VLOOKUP($B22,Activities!$A$10:$S$152,19,FALSE)</f>
        <v>This Activity includes disconnecting and terminating all services such as power, water and sewer.  It covers the disconnection costs for an area.  Within a mine site there may be a number of areas which need to have services disconnected.</v>
      </c>
      <c r="P22" s="505" t="s">
        <v>823</v>
      </c>
      <c r="Q22" s="506"/>
      <c r="R22" s="506">
        <f>VLOOKUP(S22,Activities!$A$10:$Q$152,16,FALSE)</f>
        <v>1241.113183883308</v>
      </c>
      <c r="S22" s="504" t="s">
        <v>392</v>
      </c>
      <c r="T22" s="507"/>
      <c r="U22"/>
      <c r="V22"/>
      <c r="AA22" s="461">
        <v>100</v>
      </c>
      <c r="AB22" s="510">
        <f t="shared" si="2"/>
        <v>104.55230228894837</v>
      </c>
      <c r="AC22"/>
    </row>
    <row r="23" spans="1:29" s="1" customFormat="1" ht="48.75" thickBot="1" x14ac:dyDescent="0.3">
      <c r="A23" s="1392"/>
      <c r="B23" s="102" t="s">
        <v>227</v>
      </c>
      <c r="C23" s="259" t="str">
        <f>VLOOKUP($B23,Activities!$A$10:$P$152,3,FALSE)</f>
        <v>Clean Process Facility of all materials and waste and Decontaminate ready for Demolition</v>
      </c>
      <c r="D23" s="239" t="s">
        <v>49</v>
      </c>
      <c r="E23" s="320"/>
      <c r="F23" s="246" t="str">
        <f>VLOOKUP($B23,Activities!$A$10:$P$152,4,FALSE)</f>
        <v>Item</v>
      </c>
      <c r="G23" s="1269"/>
      <c r="H23" s="1270"/>
      <c r="I23" s="273">
        <f>VLOOKUP($B23,Activities!$A$10:$S$152,16,FALSE)</f>
        <v>30655.007464689566</v>
      </c>
      <c r="J23" s="269"/>
      <c r="K23" s="388">
        <f t="shared" ref="K23" si="5">IF(D23="Y",IF(J23="",I23*E23,J23*E23),0)</f>
        <v>0</v>
      </c>
      <c r="L23" s="248" t="str">
        <f t="shared" ref="L23" si="6">IFERROR(IF(D23="Y",K23/$K$62,0%),"0.0%")</f>
        <v>0.0%</v>
      </c>
      <c r="M23" s="290" t="str">
        <f>VLOOKUP($B23,Activities!$A$10:$S$152,19,FALSE)</f>
        <v>This activity precedes any demolition and involves the cleaning out of the processing facility of all materials, waste and rubbish prior to demolition.  It includes the removal of contaminated material and the decontamination of the plant.  It is in effect made ready for demolition.</v>
      </c>
      <c r="P23" s="363" t="s">
        <v>821</v>
      </c>
      <c r="Q23" s="384"/>
      <c r="R23" s="384">
        <f>VLOOKUP(S23,Activities!$A$10:$Q$152,16,FALSE)</f>
        <v>10.342609865694234</v>
      </c>
      <c r="S23" s="385" t="s">
        <v>393</v>
      </c>
      <c r="T23" s="365"/>
      <c r="U23"/>
      <c r="V23"/>
      <c r="AA23" s="461">
        <v>200</v>
      </c>
      <c r="AB23" s="510">
        <f t="shared" si="2"/>
        <v>120.52878968398809</v>
      </c>
    </row>
    <row r="24" spans="1:29" s="1" customFormat="1" ht="19.5" thickBot="1" x14ac:dyDescent="0.35">
      <c r="A24" s="21" t="s">
        <v>53</v>
      </c>
      <c r="B24" s="112" t="str">
        <f>A22</f>
        <v>Preliminaries</v>
      </c>
      <c r="C24" s="103"/>
      <c r="D24" s="24"/>
      <c r="E24" s="25"/>
      <c r="F24" s="24"/>
      <c r="G24" s="24"/>
      <c r="H24" s="24"/>
      <c r="I24" s="26"/>
      <c r="J24" s="27"/>
      <c r="K24" s="28">
        <f>SUM(K22:K23)</f>
        <v>0</v>
      </c>
      <c r="L24" s="24"/>
      <c r="M24" s="43"/>
      <c r="P24" s="6"/>
      <c r="Q24"/>
      <c r="R24"/>
      <c r="S24"/>
      <c r="T24"/>
      <c r="U24"/>
      <c r="V24"/>
      <c r="AA24" s="461">
        <v>300</v>
      </c>
      <c r="AB24" s="510">
        <f t="shared" si="2"/>
        <v>136.50527707902785</v>
      </c>
    </row>
    <row r="25" spans="1:29" ht="57.75" customHeight="1" thickBot="1" x14ac:dyDescent="0.35">
      <c r="A25" s="1362" t="s">
        <v>523</v>
      </c>
      <c r="B25" s="245" t="s">
        <v>524</v>
      </c>
      <c r="C25" s="259" t="str">
        <f>VLOOKUP($B25,Activities!$A$10:$P$152,3,FALSE)</f>
        <v>Disconnection of Services to Individual Camp, Office or Other units (Unit basis)</v>
      </c>
      <c r="D25" s="239" t="s">
        <v>49</v>
      </c>
      <c r="E25" s="320"/>
      <c r="F25" s="246" t="str">
        <f>VLOOKUP($B25,Activities!$A$10:$P$152,4,FALSE)</f>
        <v>Item</v>
      </c>
      <c r="G25" s="1269"/>
      <c r="H25" s="1270"/>
      <c r="I25" s="273">
        <f>VLOOKUP($B25,Activities!$A$10:$S$152,16,FALSE)</f>
        <v>351.44294131332009</v>
      </c>
      <c r="J25" s="269"/>
      <c r="K25" s="388">
        <f t="shared" ref="K25:K26" si="7">IF(D25="Y",IF(J25="",I25*E25,J25*E25),0)</f>
        <v>0</v>
      </c>
      <c r="L25" s="248" t="str">
        <f>IFERROR(IF(D25="Y",K25/$K$62,0%),"0.0%")</f>
        <v>0.0%</v>
      </c>
      <c r="M25" s="290" t="str">
        <f>VLOOKUP($B25,Activities!$A$10:$S$152,19,FALSE)</f>
        <v>This Activity includes disconnecting and terminating all services such as power, water and sewer.  It covers the disconnection cost per unit and is applicable to camp, office or other individual units.</v>
      </c>
      <c r="P25" s="6"/>
      <c r="AA25" s="461">
        <v>400</v>
      </c>
      <c r="AB25" s="510">
        <f t="shared" si="2"/>
        <v>152.48176447406757</v>
      </c>
      <c r="AC25" s="1"/>
    </row>
    <row r="26" spans="1:29" ht="83.25" customHeight="1" thickBot="1" x14ac:dyDescent="0.35">
      <c r="A26" s="1389"/>
      <c r="B26" s="245" t="s">
        <v>436</v>
      </c>
      <c r="C26" s="259" t="str">
        <f>VLOOKUP($B26,Activities!$A$10:$P$152,3,FALSE)</f>
        <v>Preparation of Transportable units for Demolition and/or Transport off-site</v>
      </c>
      <c r="D26" s="239" t="s">
        <v>49</v>
      </c>
      <c r="E26" s="320"/>
      <c r="F26" s="246" t="str">
        <f>VLOOKUP($B26,Activities!$A$10:$P$152,4,FALSE)</f>
        <v>Item</v>
      </c>
      <c r="G26" s="1269"/>
      <c r="H26" s="1270"/>
      <c r="I26" s="273">
        <f>VLOOKUP($B26,Activities!$A$10:$S$152,16,FALSE)</f>
        <v>1053.2098819582345</v>
      </c>
      <c r="J26" s="269"/>
      <c r="K26" s="388">
        <f t="shared" si="7"/>
        <v>0</v>
      </c>
      <c r="L26" s="248" t="str">
        <f>IFERROR(IF(D26="Y",K26/$K$62,0%),"0.0%")</f>
        <v>0.0%</v>
      </c>
      <c r="M26" s="290" t="str">
        <f>VLOOKUP($B26,Activities!$A$10:$S$152,19,FALSE)</f>
        <v>The activity relates specifically to the activity of preparing a transportable unit for demolition and/or transport off-site.  Activities such as the disconnection of verandahs, walkways, airconditioners and other add-ons.  Larger buildings may need to be split into transportable units.  The unit should then be ready to lift onto a truck to transport off-site.</v>
      </c>
      <c r="P26" s="6"/>
      <c r="AA26" s="233" t="s">
        <v>264</v>
      </c>
      <c r="AC26" s="1"/>
    </row>
    <row r="27" spans="1:29" ht="67.5" customHeight="1" thickBot="1" x14ac:dyDescent="0.35">
      <c r="A27" s="1389"/>
      <c r="B27" s="245" t="s">
        <v>392</v>
      </c>
      <c r="C27" s="259" t="str">
        <f>VLOOKUP($B27,Activities!$A$10:$P$152,3,FALSE)</f>
        <v>Removal of Transportable Buildings and/or Containers - Loading &amp; Transport Cost</v>
      </c>
      <c r="D27" s="239" t="s">
        <v>49</v>
      </c>
      <c r="E27" s="320"/>
      <c r="F27" s="246" t="str">
        <f>VLOOKUP($B27,Activities!$A$10:$P$152,4,FALSE)</f>
        <v>Items</v>
      </c>
      <c r="G27" s="485" t="s">
        <v>857</v>
      </c>
      <c r="H27" s="140" t="s">
        <v>264</v>
      </c>
      <c r="I27" s="273">
        <f>IF(H27="Select Distance",R22,R22+R23*H27)</f>
        <v>1241.113183883308</v>
      </c>
      <c r="J27" s="269"/>
      <c r="K27" s="390">
        <f t="shared" ref="K27" si="8">IF(D27="Y",IF(J27="",I27*E27,J27*E27),"")</f>
        <v>0</v>
      </c>
      <c r="L27" s="248" t="str">
        <f>IFERROR(IF(D27="Y",K27/$K$75,0%),"0.0%")</f>
        <v>0.0%</v>
      </c>
      <c r="M27" s="290" t="str">
        <f>VLOOKUP($B27,Activities!$A$10:$S$152,19,FALSE)</f>
        <v>This activity covers the costs of removing transportable buildings and/or containers.  It assumes that these buildings can be lifted onto trucks and transported from the site for storage and/or sale.  The only costs included are the cost of loading onto a truck and transporting away.</v>
      </c>
      <c r="P27" s="6"/>
    </row>
    <row r="28" spans="1:29" ht="67.5" customHeight="1" thickBot="1" x14ac:dyDescent="0.35">
      <c r="A28" s="1389"/>
      <c r="B28" s="245" t="s">
        <v>285</v>
      </c>
      <c r="C28" s="259" t="str">
        <f>VLOOKUP($B28,Activities!$A$10:$P$152,3,FALSE)</f>
        <v>Removal of Water Treatment Plant (Fresh and Waste Water Plants)</v>
      </c>
      <c r="D28" s="239" t="s">
        <v>49</v>
      </c>
      <c r="E28" s="320"/>
      <c r="F28" s="246" t="str">
        <f>VLOOKUP($B28,Activities!$A$10:$P$152,4,FALSE)</f>
        <v>MLD</v>
      </c>
      <c r="G28" s="1269"/>
      <c r="H28" s="1270"/>
      <c r="I28" s="273">
        <f>VLOOKUP($B28,Activities!$A$10:$S$152,16,FALSE)</f>
        <v>7609.2109368736865</v>
      </c>
      <c r="J28" s="269"/>
      <c r="K28" s="388">
        <f t="shared" ref="K28:K30" si="9">IF(D28="Y",IF(J28="",I28*E28,J28*E28),0)</f>
        <v>0</v>
      </c>
      <c r="L28" s="248" t="str">
        <f>IFERROR(IF(D28="Y",K28/$K$62,0%),"0.0%")</f>
        <v>0.0%</v>
      </c>
      <c r="M28" s="290" t="str">
        <f>VLOOKUP($B28,Activities!$A$10:$S$152,19,FALSE)</f>
        <v xml:space="preserve">This activity covers the removal of both fresh and waste water treatment plants.  Rate is based on plant capacity in megalitres/day. </v>
      </c>
      <c r="P28" s="6"/>
    </row>
    <row r="29" spans="1:29" ht="54" customHeight="1" thickBot="1" x14ac:dyDescent="0.35">
      <c r="A29" s="1389"/>
      <c r="B29" s="258" t="s">
        <v>252</v>
      </c>
      <c r="C29" s="259" t="str">
        <f>VLOOKUP($B29,Activities!$A$10:$P$152,3,FALSE)</f>
        <v>Demolition of Industrial and Other buildings and remove waste to designated dump on site.</v>
      </c>
      <c r="D29" s="239" t="s">
        <v>49</v>
      </c>
      <c r="E29" s="320"/>
      <c r="F29" s="246" t="str">
        <f>VLOOKUP($B29,Activities!$A$10:$P$152,4,FALSE)</f>
        <v>m2</v>
      </c>
      <c r="G29" s="1269"/>
      <c r="H29" s="1270"/>
      <c r="I29" s="273">
        <f>VLOOKUP($B29,Activities!$A$10:$S$152,16,FALSE)</f>
        <v>62.958526402902507</v>
      </c>
      <c r="J29" s="269"/>
      <c r="K29" s="388">
        <f t="shared" si="9"/>
        <v>0</v>
      </c>
      <c r="L29" s="248" t="str">
        <f>IFERROR(IF(D29="Y",K29/$K$62,0%),"0.0%")</f>
        <v>0.0%</v>
      </c>
      <c r="M29" s="290" t="str">
        <f>VLOOKUP($B29,Activities!$A$10:$S$152,19,FALSE)</f>
        <v xml:space="preserve">This activity covers the demolition of industrial and other buildings (up to 5 levels) on the site that are not salvageable or removed from the site.  The buildings are demolished and transported to a designated dump on the mine site. </v>
      </c>
      <c r="P29" s="6"/>
    </row>
    <row r="30" spans="1:29" ht="48" thickBot="1" x14ac:dyDescent="0.35">
      <c r="A30" s="1389"/>
      <c r="B30" s="258" t="s">
        <v>505</v>
      </c>
      <c r="C30" s="259" t="str">
        <f>VLOOKUP($B30,Activities!$A$10:$P$152,3,FALSE)</f>
        <v xml:space="preserve">Demolish concrete pads, normal shed floors, pathways and minor footings  </v>
      </c>
      <c r="D30" s="239" t="s">
        <v>49</v>
      </c>
      <c r="E30" s="320"/>
      <c r="F30" s="246" t="str">
        <f>VLOOKUP($B30,Activities!$A$10:$P$152,4,FALSE)</f>
        <v>m2</v>
      </c>
      <c r="G30" s="1269"/>
      <c r="H30" s="1270"/>
      <c r="I30" s="273">
        <f>VLOOKUP($B30,Activities!$A$10:$S$152,16,FALSE)</f>
        <v>51.851141199048399</v>
      </c>
      <c r="J30" s="269"/>
      <c r="K30" s="388">
        <f t="shared" si="9"/>
        <v>0</v>
      </c>
      <c r="L30" s="248" t="str">
        <f>IFERROR(IF(D30="Y",K30/$K$62,0%),"0.0%")</f>
        <v>0.0%</v>
      </c>
      <c r="M30" s="290" t="str">
        <f>VLOOKUP($B30,Activities!$A$10:$S$152,19,FALSE)</f>
        <v>The activity include the demolition and removal of concrete floors in sheds, pathways, and minor footings.  (It does not cover major concrete equipment support bases)</v>
      </c>
      <c r="P30" s="513"/>
      <c r="Q30" s="284"/>
      <c r="R30" s="284"/>
      <c r="S30" s="284"/>
      <c r="T30" s="284"/>
      <c r="U30" s="284"/>
      <c r="V30" s="284"/>
    </row>
    <row r="31" spans="1:29" ht="58.5" customHeight="1" thickBot="1" x14ac:dyDescent="0.3">
      <c r="A31" s="1389"/>
      <c r="B31" s="245" t="s">
        <v>395</v>
      </c>
      <c r="C31" s="259" t="str">
        <f>VLOOKUP($B31,Activities!$A$10:$P$152,3,FALSE)</f>
        <v>Load and Remove Rubbish and/or waste from the site to an external dump</v>
      </c>
      <c r="D31" s="239" t="s">
        <v>49</v>
      </c>
      <c r="E31" s="320"/>
      <c r="F31" s="246" t="str">
        <f>VLOOKUP($B31,Activities!$A$10:$P$152,4,FALSE)</f>
        <v>m3</v>
      </c>
      <c r="G31" s="313" t="s">
        <v>439</v>
      </c>
      <c r="H31" s="140" t="s">
        <v>264</v>
      </c>
      <c r="I31" s="272">
        <f>VLOOKUP(H31,AA20:AB26,2,FALSE)</f>
        <v>0</v>
      </c>
      <c r="J31" s="269"/>
      <c r="K31" s="388">
        <f t="shared" ref="K31:K34" si="10">IF(D31="Y",IF(J31="",I31*E31,J31*E31),"")</f>
        <v>0</v>
      </c>
      <c r="L31" s="248" t="str">
        <f>IFERROR(IF(D31="Y",K31/$K$61,0%),"0.0%")</f>
        <v>0.0%</v>
      </c>
      <c r="M31" s="290" t="str">
        <f>VLOOKUP($B31,Activities!$A$10:$S$152,19,FALSE)</f>
        <v>This activity covers the situation when waste and rubbish needs to be fully collected and removed from the site and it is not possible to dispose of it on site.</v>
      </c>
      <c r="U31" s="284"/>
      <c r="V31" s="285"/>
    </row>
    <row r="32" spans="1:29" ht="36.75" thickBot="1" x14ac:dyDescent="0.3">
      <c r="A32" s="1389"/>
      <c r="B32" s="245" t="s">
        <v>398</v>
      </c>
      <c r="C32" s="259" t="str">
        <f>VLOOKUP($B32,Activities!$A$10:$P$152,3,FALSE)</f>
        <v>Deep Ripping of Hardstand area for Rehabilitation</v>
      </c>
      <c r="D32" s="239" t="s">
        <v>49</v>
      </c>
      <c r="E32" s="320"/>
      <c r="F32" s="246" t="str">
        <f>VLOOKUP($B32,Activities!$A$10:$P$152,4,FALSE)</f>
        <v>Ha</v>
      </c>
      <c r="G32" s="1269"/>
      <c r="H32" s="1270"/>
      <c r="I32" s="273">
        <f>VLOOKUP($B32,Activities!$A$10:$S$152,16,FALSE)</f>
        <v>829.40192654187592</v>
      </c>
      <c r="J32" s="269"/>
      <c r="K32" s="388">
        <f t="shared" ref="K32:K33" si="11">IF(D32="Y",IF(J32="",I32*E32,J32*E32),0)</f>
        <v>0</v>
      </c>
      <c r="L32" s="248" t="str">
        <f>IFERROR(IF(D32="Y",K32/$K$62,0%),"0.0%")</f>
        <v>0.0%</v>
      </c>
      <c r="M32" s="290" t="str">
        <f>VLOOKUP($B32,Activities!$A$10:$S$152,19,FALSE)</f>
        <v>This activity covers the situation where a hard stand area needs to be deep ripped by a dozer or appropriate machine.  It may be required to key in materials or situations where the ground is heavily compacted.</v>
      </c>
      <c r="U32" s="284"/>
      <c r="V32" s="285"/>
    </row>
    <row r="33" spans="1:22" ht="48" thickBot="1" x14ac:dyDescent="0.3">
      <c r="A33" s="1389"/>
      <c r="B33" s="104" t="s">
        <v>234</v>
      </c>
      <c r="C33" s="259" t="str">
        <f>VLOOKUP($B33,Activities!$A$10:$P$152,3,FALSE)</f>
        <v>Demolition and removal of Bitumen, spray seal and crushed rock roadbase</v>
      </c>
      <c r="D33" s="239" t="s">
        <v>49</v>
      </c>
      <c r="E33" s="320"/>
      <c r="F33" s="246" t="str">
        <f>VLOOKUP($B33,Activities!$A$10:$P$152,4,FALSE)</f>
        <v>m2</v>
      </c>
      <c r="G33" s="1269"/>
      <c r="H33" s="1270"/>
      <c r="I33" s="273">
        <f>VLOOKUP($B33,Activities!$A$10:$S$152,16,FALSE)</f>
        <v>0.45606878582196886</v>
      </c>
      <c r="J33" s="269"/>
      <c r="K33" s="388">
        <f t="shared" si="11"/>
        <v>0</v>
      </c>
      <c r="L33" s="248" t="str">
        <f>IFERROR(IF(D33="Y",K33/$K$62,0%),"0.0%")</f>
        <v>0.0%</v>
      </c>
      <c r="M33" s="290" t="str">
        <f>VLOOKUP($B33,Activities!$A$10:$S$152,19,FALSE)</f>
        <v>The activity involves the digging up and removal of bitumen, sprayseal and crushed roadbase to a designated dump on the mine site.</v>
      </c>
      <c r="U33" s="284"/>
      <c r="V33" s="285"/>
    </row>
    <row r="34" spans="1:22" ht="60.75" thickBot="1" x14ac:dyDescent="0.3">
      <c r="A34" s="1389"/>
      <c r="B34" s="245" t="s">
        <v>251</v>
      </c>
      <c r="C34" s="259" t="str">
        <f>VLOOKUP($B34,Activities!$A$10:$P$152,3,FALSE)</f>
        <v>Scarification and ripping of Haul and Access Roads</v>
      </c>
      <c r="D34" s="239" t="s">
        <v>49</v>
      </c>
      <c r="E34" s="607"/>
      <c r="F34" s="246" t="str">
        <f>VLOOKUP($B34,Activities!$A$10:$P$152,4,FALSE)</f>
        <v>km</v>
      </c>
      <c r="G34" s="1160" t="s">
        <v>408</v>
      </c>
      <c r="H34" s="1161"/>
      <c r="I34" s="272">
        <f>Activities!P49</f>
        <v>817.62150792547607</v>
      </c>
      <c r="J34" s="269"/>
      <c r="K34" s="388">
        <f t="shared" si="10"/>
        <v>0</v>
      </c>
      <c r="L34" s="248" t="str">
        <f>IFERROR(IF(D34="Y",K34/$K$61,0%),"0.0%")</f>
        <v>0.0%</v>
      </c>
      <c r="M34" s="290" t="str">
        <f>VLOOKUP($B34,Activities!$A$10:$S$152,19,FALSE)</f>
        <v>This activity is specifically minor shaping and for the scarification and where necessary the deep ripping of Haul and Access roads to allow natural re-vegetation to occurr.   It is appropriate for access roads and tracks of a width of 5 metres and of minimal construction.  (Access to drill locations and minor areas) ( For major constructed haul roads  20m in width use A1039)</v>
      </c>
      <c r="P34" s="284"/>
      <c r="Q34" s="285"/>
      <c r="R34" s="285"/>
      <c r="S34" s="286"/>
      <c r="T34" s="285"/>
      <c r="U34" s="284"/>
      <c r="V34" s="285"/>
    </row>
    <row r="35" spans="1:22" ht="48" thickBot="1" x14ac:dyDescent="0.3">
      <c r="A35" s="1390"/>
      <c r="B35" s="479"/>
      <c r="C35" s="271" t="s">
        <v>300</v>
      </c>
      <c r="D35" s="239" t="s">
        <v>49</v>
      </c>
      <c r="E35" s="607"/>
      <c r="F35" s="296"/>
      <c r="G35" s="1160"/>
      <c r="H35" s="1161"/>
      <c r="I35" s="355" t="s">
        <v>475</v>
      </c>
      <c r="J35" s="269"/>
      <c r="K35" s="389">
        <f>IF(D35="Y",J35*E35,"")</f>
        <v>0</v>
      </c>
      <c r="L35" s="248" t="str">
        <f>IFERROR(IF(D35="Y",K35/$K$61,0%),"0.0%")</f>
        <v>0.0%</v>
      </c>
      <c r="M35" s="139" t="s">
        <v>56</v>
      </c>
      <c r="P35" s="284"/>
      <c r="Q35" s="285"/>
      <c r="R35" s="285"/>
      <c r="S35" s="286"/>
      <c r="T35" s="285"/>
      <c r="U35" s="284"/>
      <c r="V35" s="285"/>
    </row>
    <row r="36" spans="1:22" ht="15.75" thickBot="1" x14ac:dyDescent="0.3">
      <c r="A36" s="21" t="s">
        <v>53</v>
      </c>
      <c r="B36" s="112" t="str">
        <f>A25</f>
        <v xml:space="preserve">Demolition and Removal of Offices, Camp and Accommodation Units </v>
      </c>
      <c r="C36" s="103"/>
      <c r="D36" s="24"/>
      <c r="E36" s="25"/>
      <c r="F36" s="24"/>
      <c r="G36" s="24"/>
      <c r="H36" s="24"/>
      <c r="I36" s="26"/>
      <c r="J36" s="27"/>
      <c r="K36" s="28">
        <f>SUM(K25:K35)</f>
        <v>0</v>
      </c>
      <c r="L36" s="24"/>
      <c r="M36" s="43"/>
      <c r="P36" s="284"/>
      <c r="Q36" s="285"/>
      <c r="R36" s="285"/>
      <c r="S36" s="286"/>
      <c r="T36" s="285"/>
      <c r="U36" s="284"/>
      <c r="V36" s="285"/>
    </row>
    <row r="37" spans="1:22" ht="42.75" thickBot="1" x14ac:dyDescent="0.3">
      <c r="A37" s="1132" t="s">
        <v>261</v>
      </c>
      <c r="B37" s="102" t="s">
        <v>17</v>
      </c>
      <c r="C37" s="259" t="str">
        <f>VLOOKUP($B37,Activities!$A$10:$P$152,3,FALSE)</f>
        <v xml:space="preserve">Excavation of earthen materials from local borrow pits, plus haulage </v>
      </c>
      <c r="D37" s="239" t="s">
        <v>49</v>
      </c>
      <c r="E37" s="346"/>
      <c r="F37" s="246" t="str">
        <f>VLOOKUP($B37,Activities!$A$10:$P$152,4,FALSE)</f>
        <v>m3</v>
      </c>
      <c r="G37" s="313" t="s">
        <v>51</v>
      </c>
      <c r="H37" s="167" t="s">
        <v>264</v>
      </c>
      <c r="I37" s="350">
        <f>VLOOKUP(H37,U3:V7,2)</f>
        <v>0</v>
      </c>
      <c r="J37" s="269"/>
      <c r="K37" s="387">
        <f>IF(D37="Y",IF(J37="",I37*E37,J37*E37),"")</f>
        <v>0</v>
      </c>
      <c r="L37" s="145" t="str">
        <f>IFERROR(IF(D37="Y",K37/$K$58,0%),"0.0%")</f>
        <v>0.0%</v>
      </c>
      <c r="M37" s="290" t="str">
        <f>VLOOKUP($B37,Activities!$A$10:$S$152,19,FALSE)</f>
        <v>This activity involves the excavation of earthern material from a local borrow pit and the loading of that material into a truck.  Haulage cost based on distance hauled.</v>
      </c>
      <c r="P37" s="284"/>
      <c r="Q37" s="285"/>
      <c r="R37" s="285"/>
      <c r="S37" s="286"/>
      <c r="T37" s="285"/>
      <c r="U37" s="284"/>
      <c r="V37" s="285"/>
    </row>
    <row r="38" spans="1:22" ht="48.75" thickBot="1" x14ac:dyDescent="0.3">
      <c r="A38" s="1133"/>
      <c r="B38" s="86" t="s">
        <v>79</v>
      </c>
      <c r="C38" s="259" t="str">
        <f>VLOOKUP($B38,Activities!$A$10:$P$152,3,FALSE)</f>
        <v>Minor Shaping across a Dump or Disturbed Area</v>
      </c>
      <c r="D38" s="239" t="s">
        <v>49</v>
      </c>
      <c r="E38" s="320"/>
      <c r="F38" s="246" t="str">
        <f>VLOOKUP($B38,Activities!$A$10:$P$152,4,FALSE)</f>
        <v>Ha</v>
      </c>
      <c r="G38" s="1269"/>
      <c r="H38" s="1270"/>
      <c r="I38" s="273">
        <f>VLOOKUP($B38,Activities!$A$10:$S$152,16,FALSE)</f>
        <v>2987.2221197728068</v>
      </c>
      <c r="J38" s="269"/>
      <c r="K38" s="388">
        <f t="shared" ref="K38" si="12">IF(D38="Y",IF(J38="",I38*E38,J38*E38),0)</f>
        <v>0</v>
      </c>
      <c r="L38" s="248" t="str">
        <f t="shared" ref="L38" si="13">IFERROR(IF(D38="Y",K38/$K$62,0%),"0.0%")</f>
        <v>0.0%</v>
      </c>
      <c r="M38" s="290" t="str">
        <f>VLOOKUP($B38,Activities!$A$10:$S$152,19,FALSE)</f>
        <v xml:space="preserve">This activity covers minor shaping shifting pushing across a dump or disturbed area.  It is based on a rate per hectare.  It covers area where there needs to be some clearing work, tidying up of disturbed ground,  but not just bulk pushing </v>
      </c>
      <c r="P38" s="284"/>
      <c r="Q38" s="285"/>
      <c r="R38" s="285"/>
      <c r="S38" s="286"/>
      <c r="T38" s="285"/>
      <c r="U38" s="284"/>
      <c r="V38" s="285"/>
    </row>
    <row r="39" spans="1:22" ht="57.75" customHeight="1" thickBot="1" x14ac:dyDescent="0.3">
      <c r="A39" s="1133"/>
      <c r="B39" s="102" t="s">
        <v>70</v>
      </c>
      <c r="C39" s="259" t="str">
        <f>VLOOKUP($B39,Activities!$A$10:$P$152,3,FALSE)</f>
        <v>Sourcing, Carting and Spreading of Topsoil over an Area</v>
      </c>
      <c r="D39" s="239" t="s">
        <v>49</v>
      </c>
      <c r="E39" s="320"/>
      <c r="F39" s="246" t="str">
        <f>VLOOKUP($B39,Activities!$A$10:$P$152,4,FALSE)</f>
        <v>m3</v>
      </c>
      <c r="G39" s="313" t="s">
        <v>51</v>
      </c>
      <c r="H39" s="167" t="s">
        <v>264</v>
      </c>
      <c r="I39" s="350">
        <f>VLOOKUP(H39,U11:V15,2)</f>
        <v>0</v>
      </c>
      <c r="J39" s="269"/>
      <c r="K39" s="387">
        <f>IF(D39="Y",IF(J39="",I39*E39,J39*E39),"")</f>
        <v>0</v>
      </c>
      <c r="L39" s="145" t="str">
        <f>IFERROR(IF(D39="Y",K39/$K$58,0%),"0.0%")</f>
        <v>0.0%</v>
      </c>
      <c r="M39" s="290" t="str">
        <f>VLOOKUP($B39,Activities!$A$10:$S$152,19,FALSE)</f>
        <v>This activity covers the sourcing of topsoil or suitable growth medium, transporting from the source to the required area and then spreading it over that area.</v>
      </c>
      <c r="P39" s="284"/>
      <c r="Q39" s="285"/>
      <c r="R39" s="285"/>
      <c r="S39" s="286"/>
      <c r="T39" s="285"/>
      <c r="U39" s="284"/>
      <c r="V39" s="285"/>
    </row>
    <row r="40" spans="1:22" ht="48.75" customHeight="1" thickBot="1" x14ac:dyDescent="0.3">
      <c r="A40" s="1133"/>
      <c r="B40" s="245" t="s">
        <v>21</v>
      </c>
      <c r="C40" s="259" t="str">
        <f>VLOOKUP($B40,Activities!$A$10:$P$152,3,FALSE)</f>
        <v>Scarification to promote vegetation growth</v>
      </c>
      <c r="D40" s="239" t="s">
        <v>49</v>
      </c>
      <c r="E40" s="320"/>
      <c r="F40" s="246" t="str">
        <f>VLOOKUP($B40,Activities!$A$10:$P$152,4,FALSE)</f>
        <v>Ha</v>
      </c>
      <c r="G40" s="1269"/>
      <c r="H40" s="1270"/>
      <c r="I40" s="273">
        <f>VLOOKUP($B40,Activities!$A$10:$S$152,16,FALSE)</f>
        <v>323.54530924221694</v>
      </c>
      <c r="J40" s="269"/>
      <c r="K40" s="388">
        <f t="shared" ref="K40:K50" si="14">IF(D40="Y",IF(J40="",I40*E40,J40*E40),0)</f>
        <v>0</v>
      </c>
      <c r="L40" s="248" t="str">
        <f>IFERROR(IF(D40="Y",K40/$K$62,0%),"0.0%")</f>
        <v>0.0%</v>
      </c>
      <c r="M40" s="290" t="str">
        <f>VLOOKUP($B40,Activities!$A$10:$S$152,19,FALSE)</f>
        <v xml:space="preserve">This activity is undertaken in preparation for the seeding of a particular area.  </v>
      </c>
      <c r="P40" s="284"/>
      <c r="Q40" s="285"/>
      <c r="R40" s="285"/>
      <c r="S40" s="286"/>
      <c r="T40" s="285"/>
      <c r="U40" s="284"/>
      <c r="V40" s="285"/>
    </row>
    <row r="41" spans="1:22" ht="48.75" customHeight="1" thickBot="1" x14ac:dyDescent="0.3">
      <c r="A41" s="1133"/>
      <c r="B41" s="245" t="s">
        <v>626</v>
      </c>
      <c r="C41" s="259" t="str">
        <f>VLOOKUP($B41,Activities!$A$10:$P$152,3,FALSE)</f>
        <v>Purchase and single application of ground ameliorants (e.g. gypsum)</v>
      </c>
      <c r="D41" s="239" t="s">
        <v>49</v>
      </c>
      <c r="E41" s="320"/>
      <c r="F41" s="246" t="str">
        <f>VLOOKUP($B41,Activities!$A$10:$P$152,4,FALSE)</f>
        <v>Ha</v>
      </c>
      <c r="G41" s="1269"/>
      <c r="H41" s="1270"/>
      <c r="I41" s="273">
        <f>VLOOKUP($B41,Activities!$A$10:$S$152,16,FALSE)</f>
        <v>877.38983538153695</v>
      </c>
      <c r="J41" s="269"/>
      <c r="K41" s="388">
        <f t="shared" si="14"/>
        <v>0</v>
      </c>
      <c r="L41" s="248" t="str">
        <f t="shared" ref="L41:L49" si="15">IFERROR(IF(D41="Y",K41/$K$55,0%),"0.0%")</f>
        <v>0.0%</v>
      </c>
      <c r="M41" s="290" t="str">
        <f>VLOOKUP($B41,Activities!$A$10:$S$152,19,FALSE)</f>
        <v>This Activity includes the purchase and single application of ground ameliorants (e.g. gypsum).</v>
      </c>
      <c r="P41" s="284"/>
      <c r="Q41" s="285"/>
      <c r="R41" s="285"/>
      <c r="S41" s="286"/>
      <c r="T41" s="285"/>
      <c r="U41" s="284"/>
      <c r="V41" s="285"/>
    </row>
    <row r="42" spans="1:22" ht="48.75" customHeight="1" thickBot="1" x14ac:dyDescent="0.3">
      <c r="A42" s="1133"/>
      <c r="B42" s="245" t="s">
        <v>627</v>
      </c>
      <c r="C42" s="259" t="str">
        <f>VLOOKUP($B42,Activities!$A$10:$P$152,3,FALSE)</f>
        <v>The purchase only of non-native pasture grasses</v>
      </c>
      <c r="D42" s="239" t="s">
        <v>49</v>
      </c>
      <c r="E42" s="320"/>
      <c r="F42" s="246" t="str">
        <f>VLOOKUP($B42,Activities!$A$10:$P$152,4,FALSE)</f>
        <v>Ha</v>
      </c>
      <c r="G42" s="1269"/>
      <c r="H42" s="1270"/>
      <c r="I42" s="273">
        <f>VLOOKUP($B42,Activities!$A$10:$S$152,16,FALSE)</f>
        <v>1774.5180283018869</v>
      </c>
      <c r="J42" s="269"/>
      <c r="K42" s="388">
        <f t="shared" si="14"/>
        <v>0</v>
      </c>
      <c r="L42" s="248" t="str">
        <f t="shared" si="15"/>
        <v>0.0%</v>
      </c>
      <c r="M42" s="290" t="str">
        <f>VLOOKUP($B42,Activities!$A$10:$S$152,19,FALSE)</f>
        <v>This activity covers the purchase of non-native pasture grasses</v>
      </c>
      <c r="P42" s="284"/>
      <c r="Q42" s="285"/>
      <c r="R42" s="285"/>
      <c r="S42" s="286"/>
      <c r="T42" s="285"/>
      <c r="U42" s="284"/>
      <c r="V42" s="285"/>
    </row>
    <row r="43" spans="1:22" ht="48.75" customHeight="1" thickBot="1" x14ac:dyDescent="0.3">
      <c r="A43" s="1133"/>
      <c r="B43" s="245" t="s">
        <v>628</v>
      </c>
      <c r="C43" s="259" t="str">
        <f>VLOOKUP($B43,Activities!$A$10:$P$152,3,FALSE)</f>
        <v>The purchase only of general native seed mix</v>
      </c>
      <c r="D43" s="239" t="s">
        <v>49</v>
      </c>
      <c r="E43" s="320"/>
      <c r="F43" s="246" t="str">
        <f>VLOOKUP($B43,Activities!$A$10:$P$152,4,FALSE)</f>
        <v>Ha</v>
      </c>
      <c r="G43" s="1269"/>
      <c r="H43" s="1270"/>
      <c r="I43" s="273">
        <f>VLOOKUP($B43,Activities!$A$10:$S$152,16,FALSE)</f>
        <v>3439.8717452830197</v>
      </c>
      <c r="J43" s="269"/>
      <c r="K43" s="388">
        <f t="shared" si="14"/>
        <v>0</v>
      </c>
      <c r="L43" s="248" t="str">
        <f t="shared" si="15"/>
        <v>0.0%</v>
      </c>
      <c r="M43" s="290" t="str">
        <f>VLOOKUP($B43,Activities!$A$10:$S$152,19,FALSE)</f>
        <v>This activity covers the purchase of general native seed mix</v>
      </c>
      <c r="P43" s="284"/>
      <c r="Q43" s="285"/>
      <c r="R43" s="285"/>
      <c r="S43" s="286"/>
      <c r="T43" s="285"/>
      <c r="U43" s="284"/>
      <c r="V43" s="285"/>
    </row>
    <row r="44" spans="1:22" ht="48.75" customHeight="1" thickBot="1" x14ac:dyDescent="0.3">
      <c r="A44" s="1133"/>
      <c r="B44" s="245" t="s">
        <v>629</v>
      </c>
      <c r="C44" s="259" t="str">
        <f>VLOOKUP($B44,Activities!$A$10:$P$152,3,FALSE)</f>
        <v>The purchase only of local provenance native seed mix</v>
      </c>
      <c r="D44" s="239" t="s">
        <v>49</v>
      </c>
      <c r="E44" s="320"/>
      <c r="F44" s="246" t="str">
        <f>VLOOKUP($B44,Activities!$A$10:$P$152,4,FALSE)</f>
        <v>Ha</v>
      </c>
      <c r="G44" s="1269"/>
      <c r="H44" s="1270"/>
      <c r="I44" s="273">
        <f>VLOOKUP($B44,Activities!$A$10:$S$152,16,FALSE)</f>
        <v>10525.680933962265</v>
      </c>
      <c r="J44" s="269"/>
      <c r="K44" s="388">
        <f t="shared" si="14"/>
        <v>0</v>
      </c>
      <c r="L44" s="248" t="str">
        <f t="shared" si="15"/>
        <v>0.0%</v>
      </c>
      <c r="M44" s="290" t="str">
        <f>VLOOKUP($B44,Activities!$A$10:$S$152,19,FALSE)</f>
        <v>This activity covers the purchase of local provenance native seed mix</v>
      </c>
      <c r="P44" s="284"/>
      <c r="Q44" s="285"/>
      <c r="R44" s="285"/>
      <c r="S44" s="286"/>
      <c r="T44" s="285"/>
      <c r="U44" s="284"/>
      <c r="V44" s="285"/>
    </row>
    <row r="45" spans="1:22" ht="48.75" customHeight="1" thickBot="1" x14ac:dyDescent="0.3">
      <c r="A45" s="1133"/>
      <c r="B45" s="245" t="s">
        <v>630</v>
      </c>
      <c r="C45" s="259" t="str">
        <f>VLOOKUP($B45,Activities!$A$10:$P$152,3,FALSE)</f>
        <v>The purchase only of fertiliser for broadcast application</v>
      </c>
      <c r="D45" s="239" t="s">
        <v>49</v>
      </c>
      <c r="E45" s="320"/>
      <c r="F45" s="246" t="str">
        <f>VLOOKUP($B45,Activities!$A$10:$P$152,4,FALSE)</f>
        <v>Ha</v>
      </c>
      <c r="G45" s="1269"/>
      <c r="H45" s="1270"/>
      <c r="I45" s="273">
        <f>VLOOKUP($B45,Activities!$A$10:$S$152,16,FALSE)</f>
        <v>613.30500000000006</v>
      </c>
      <c r="J45" s="269"/>
      <c r="K45" s="388">
        <f t="shared" si="14"/>
        <v>0</v>
      </c>
      <c r="L45" s="248" t="str">
        <f t="shared" si="15"/>
        <v>0.0%</v>
      </c>
      <c r="M45" s="290" t="str">
        <f>VLOOKUP($B45,Activities!$A$10:$S$152,19,FALSE)</f>
        <v>This activity covers the purchase of local fertiliser for broadcast application.  It does not inlcude the application.</v>
      </c>
      <c r="P45" s="284"/>
      <c r="Q45" s="285"/>
      <c r="R45" s="285"/>
      <c r="S45" s="286"/>
      <c r="T45" s="285"/>
      <c r="U45" s="284"/>
      <c r="V45" s="285"/>
    </row>
    <row r="46" spans="1:22" ht="48.75" customHeight="1" thickBot="1" x14ac:dyDescent="0.3">
      <c r="A46" s="1133"/>
      <c r="B46" s="245" t="s">
        <v>631</v>
      </c>
      <c r="C46" s="259" t="str">
        <f>VLOOKUP($B46,Activities!$A$10:$P$152,3,FALSE)</f>
        <v>The purchase of native tubestock (including slow release fertiliser)</v>
      </c>
      <c r="D46" s="239" t="s">
        <v>49</v>
      </c>
      <c r="E46" s="320"/>
      <c r="F46" s="246" t="str">
        <f>VLOOKUP($B46,Activities!$A$10:$P$152,4,FALSE)</f>
        <v>Ha</v>
      </c>
      <c r="G46" s="1269"/>
      <c r="H46" s="1270"/>
      <c r="I46" s="273">
        <f>VLOOKUP($B46,Activities!$A$10:$S$152,16,FALSE)</f>
        <v>19729.952830188682</v>
      </c>
      <c r="J46" s="269"/>
      <c r="K46" s="388">
        <f t="shared" si="14"/>
        <v>0</v>
      </c>
      <c r="L46" s="248" t="str">
        <f t="shared" si="15"/>
        <v>0.0%</v>
      </c>
      <c r="M46" s="290" t="str">
        <f>VLOOKUP($B46,Activities!$A$10:$S$152,19,FALSE)</f>
        <v>The Activity includes the purchase of native tubestock (including slow release fertiliser).  It does not include planting.</v>
      </c>
      <c r="P46" s="284"/>
      <c r="Q46" s="285"/>
      <c r="R46" s="285"/>
      <c r="S46" s="286"/>
      <c r="T46" s="285"/>
      <c r="U46" s="284"/>
      <c r="V46" s="285"/>
    </row>
    <row r="47" spans="1:22" ht="48.75" customHeight="1" thickBot="1" x14ac:dyDescent="0.3">
      <c r="A47" s="1133"/>
      <c r="B47" s="245" t="s">
        <v>632</v>
      </c>
      <c r="C47" s="259" t="str">
        <f>VLOOKUP($B47,Activities!$A$10:$P$152,3,FALSE)</f>
        <v>Direct seeding along rip line or mechanical broadcast seeding</v>
      </c>
      <c r="D47" s="239" t="s">
        <v>49</v>
      </c>
      <c r="E47" s="320"/>
      <c r="F47" s="246" t="str">
        <f>VLOOKUP($B47,Activities!$A$10:$P$152,4,FALSE)</f>
        <v>Ha</v>
      </c>
      <c r="G47" s="1269"/>
      <c r="H47" s="1270"/>
      <c r="I47" s="273">
        <f>VLOOKUP($B47,Activities!$A$10:$S$152,16,FALSE)</f>
        <v>2100.7838269402318</v>
      </c>
      <c r="J47" s="269"/>
      <c r="K47" s="388">
        <f t="shared" si="14"/>
        <v>0</v>
      </c>
      <c r="L47" s="248" t="str">
        <f t="shared" si="15"/>
        <v>0.0%</v>
      </c>
      <c r="M47" s="290" t="str">
        <f>VLOOKUP($B47,Activities!$A$10:$S$152,19,FALSE)</f>
        <v>Sowing of separately purchased seed and or fertiliser for broadcast application that involves scattering seed, by hand or mechanically, over a relatively large area.</v>
      </c>
      <c r="P47" s="284"/>
      <c r="Q47" s="285"/>
      <c r="R47" s="285"/>
      <c r="S47" s="286"/>
      <c r="T47" s="285"/>
      <c r="U47" s="284"/>
      <c r="V47" s="285"/>
    </row>
    <row r="48" spans="1:22" ht="48.75" customHeight="1" thickBot="1" x14ac:dyDescent="0.3">
      <c r="A48" s="1133"/>
      <c r="B48" s="245" t="s">
        <v>633</v>
      </c>
      <c r="C48" s="259" t="str">
        <f>VLOOKUP($B48,Activities!$A$10:$P$152,3,FALSE)</f>
        <v>Hydromulching (does not include seed or fertiliser)</v>
      </c>
      <c r="D48" s="239" t="s">
        <v>49</v>
      </c>
      <c r="E48" s="240"/>
      <c r="F48" s="246" t="str">
        <f>VLOOKUP($B48,Activities!$A$10:$P$152,4,FALSE)</f>
        <v>Ha</v>
      </c>
      <c r="G48" s="1269"/>
      <c r="H48" s="1270"/>
      <c r="I48" s="273">
        <f>VLOOKUP($B48,Activities!$A$10:$S$152,16,FALSE)</f>
        <v>1583.2664818030244</v>
      </c>
      <c r="J48" s="269"/>
      <c r="K48" s="388">
        <f t="shared" si="14"/>
        <v>0</v>
      </c>
      <c r="L48" s="248" t="str">
        <f t="shared" si="15"/>
        <v>0.0%</v>
      </c>
      <c r="M48" s="290" t="str">
        <f>VLOOKUP($B48,Activities!$A$10:$S$152,19,FALSE)</f>
        <v>Hydromulching planting process that uses a slurry of seed and mulch. It is often used as an erosion control technique as an alternative to the traditional process of broadcasting or sowing dry seed.</v>
      </c>
      <c r="P48" s="284"/>
      <c r="Q48" s="285"/>
      <c r="R48" s="285"/>
      <c r="S48" s="286"/>
      <c r="T48" s="285"/>
      <c r="U48" s="284"/>
      <c r="V48" s="285"/>
    </row>
    <row r="49" spans="1:22" ht="48.75" customHeight="1" thickBot="1" x14ac:dyDescent="0.3">
      <c r="A49" s="1133"/>
      <c r="B49" s="245" t="s">
        <v>717</v>
      </c>
      <c r="C49" s="259" t="str">
        <f>VLOOKUP($B49,Activities!$A$10:$P$152,3,FALSE)</f>
        <v>Planting of tubestock &lt;15cm (assumes 1,000 plants per hectare)</v>
      </c>
      <c r="D49" s="239" t="s">
        <v>49</v>
      </c>
      <c r="E49" s="240"/>
      <c r="F49" s="246" t="str">
        <f>VLOOKUP($B49,Activities!$A$10:$P$152,4,FALSE)</f>
        <v>Ha</v>
      </c>
      <c r="G49" s="1269"/>
      <c r="H49" s="1270"/>
      <c r="I49" s="273">
        <f>VLOOKUP($B49,Activities!$A$10:$S$152,16,FALSE)</f>
        <v>1714.118869047619</v>
      </c>
      <c r="J49" s="269"/>
      <c r="K49" s="388">
        <f t="shared" si="14"/>
        <v>0</v>
      </c>
      <c r="L49" s="248" t="str">
        <f t="shared" si="15"/>
        <v>0.0%</v>
      </c>
      <c r="M49" s="290" t="str">
        <f>VLOOKUP($B49,Activities!$A$10:$S$152,19,FALSE)</f>
        <v>This Activity covers the hand planting of tubestock plants across a broad area.</v>
      </c>
      <c r="P49" s="284"/>
      <c r="Q49" s="285"/>
      <c r="R49" s="285"/>
      <c r="S49" s="286"/>
      <c r="T49" s="285"/>
      <c r="U49" s="284"/>
      <c r="V49" s="285"/>
    </row>
    <row r="50" spans="1:22" ht="48.75" thickBot="1" x14ac:dyDescent="0.3">
      <c r="A50" s="1133"/>
      <c r="B50" s="245" t="s">
        <v>25</v>
      </c>
      <c r="C50" s="259" t="str">
        <f>VLOOKUP($B50,Activities!$A$10:$P$152,3,FALSE)</f>
        <v xml:space="preserve">Construction of a stock proof fence including appropriate gates </v>
      </c>
      <c r="D50" s="239" t="s">
        <v>49</v>
      </c>
      <c r="E50" s="320"/>
      <c r="F50" s="246" t="str">
        <f>VLOOKUP($B50,Activities!$A$10:$P$152,4,FALSE)</f>
        <v>km</v>
      </c>
      <c r="G50" s="1269"/>
      <c r="H50" s="1270"/>
      <c r="I50" s="273">
        <f>VLOOKUP($B50,Activities!$A$10:$S$152,16,FALSE)</f>
        <v>13302.992584007126</v>
      </c>
      <c r="J50" s="269"/>
      <c r="K50" s="388">
        <f t="shared" si="14"/>
        <v>0</v>
      </c>
      <c r="L50" s="248" t="str">
        <f>IFERROR(IF(D50="Y",K50/$K$62,0%),"0.0%")</f>
        <v>0.0%</v>
      </c>
      <c r="M50" s="290" t="str">
        <f>VLOOKUP($B50,Activities!$A$10:$S$152,19,FALSE)</f>
        <v>This activity involves the construction of a stock proof fence to protect revegetation against stock and to provide an obstacle to persons to prevent inadvertant access.  It is not designed to prevent a person climbing over it.  It includes an allowance for gates.</v>
      </c>
      <c r="P50" s="284"/>
      <c r="Q50" s="285"/>
      <c r="R50" s="285"/>
      <c r="S50" s="286"/>
      <c r="T50" s="285"/>
      <c r="U50" s="284"/>
      <c r="V50" s="285"/>
    </row>
    <row r="51" spans="1:22" ht="40.5" customHeight="1" thickBot="1" x14ac:dyDescent="0.3">
      <c r="A51" s="1134"/>
      <c r="B51" s="480"/>
      <c r="C51" s="271" t="s">
        <v>55</v>
      </c>
      <c r="D51" s="239" t="s">
        <v>49</v>
      </c>
      <c r="E51" s="346"/>
      <c r="F51" s="296"/>
      <c r="G51" s="1269"/>
      <c r="H51" s="1270"/>
      <c r="I51" s="355" t="s">
        <v>475</v>
      </c>
      <c r="J51" s="269"/>
      <c r="K51" s="387">
        <f>IF(D51="Y",J51*E51,"")</f>
        <v>0</v>
      </c>
      <c r="L51" s="145" t="str">
        <f>IFERROR(IF(D51="Y",K51/$K$58,0%),"0.0%")</f>
        <v>0.0%</v>
      </c>
      <c r="M51" s="139" t="s">
        <v>56</v>
      </c>
      <c r="P51" s="284"/>
      <c r="Q51" s="285"/>
      <c r="R51" s="285"/>
      <c r="S51" s="286"/>
      <c r="T51" s="285"/>
      <c r="U51" s="284"/>
      <c r="V51" s="285"/>
    </row>
    <row r="52" spans="1:22" ht="15.75" thickBot="1" x14ac:dyDescent="0.3">
      <c r="A52" s="21" t="s">
        <v>53</v>
      </c>
      <c r="B52" s="112" t="str">
        <f>A37</f>
        <v>Re-Vegetation of Area</v>
      </c>
      <c r="C52" s="103"/>
      <c r="D52" s="24"/>
      <c r="E52" s="25"/>
      <c r="F52" s="24"/>
      <c r="G52" s="24"/>
      <c r="H52" s="24"/>
      <c r="I52" s="26"/>
      <c r="J52" s="27"/>
      <c r="K52" s="28">
        <f>SUM(K37:K51)</f>
        <v>0</v>
      </c>
      <c r="L52" s="24"/>
      <c r="M52" s="29"/>
    </row>
    <row r="53" spans="1:22" ht="39.75" customHeight="1" thickBot="1" x14ac:dyDescent="0.3">
      <c r="A53" s="1132" t="s">
        <v>876</v>
      </c>
      <c r="B53" s="480"/>
      <c r="C53" s="271" t="s">
        <v>55</v>
      </c>
      <c r="D53" s="239" t="s">
        <v>49</v>
      </c>
      <c r="E53" s="346"/>
      <c r="F53" s="296"/>
      <c r="G53" s="1269"/>
      <c r="H53" s="1270"/>
      <c r="I53" s="355" t="s">
        <v>475</v>
      </c>
      <c r="J53" s="269"/>
      <c r="K53" s="387">
        <f>IF(D53="Y",J53*E53,"")</f>
        <v>0</v>
      </c>
      <c r="L53" s="145" t="str">
        <f>IFERROR(IF(D53="Y",K53/$K$58,0%),"0.0%")</f>
        <v>0.0%</v>
      </c>
      <c r="M53" s="139" t="s">
        <v>56</v>
      </c>
    </row>
    <row r="54" spans="1:22" ht="39.75" customHeight="1" thickBot="1" x14ac:dyDescent="0.3">
      <c r="A54" s="1133"/>
      <c r="B54" s="480"/>
      <c r="C54" s="271" t="s">
        <v>55</v>
      </c>
      <c r="D54" s="239" t="s">
        <v>49</v>
      </c>
      <c r="E54" s="346"/>
      <c r="F54" s="296"/>
      <c r="G54" s="1269"/>
      <c r="H54" s="1270"/>
      <c r="I54" s="355" t="s">
        <v>475</v>
      </c>
      <c r="J54" s="269"/>
      <c r="K54" s="387">
        <f>IF(D54="Y",J54*E54,"")</f>
        <v>0</v>
      </c>
      <c r="L54" s="145" t="str">
        <f>IFERROR(IF(D54="Y",K54/$K$58,0%),"0.0%")</f>
        <v>0.0%</v>
      </c>
      <c r="M54" s="139" t="s">
        <v>56</v>
      </c>
    </row>
    <row r="55" spans="1:22" ht="39.75" customHeight="1" thickBot="1" x14ac:dyDescent="0.3">
      <c r="A55" s="1134"/>
      <c r="B55" s="480"/>
      <c r="C55" s="271" t="s">
        <v>55</v>
      </c>
      <c r="D55" s="239" t="s">
        <v>49</v>
      </c>
      <c r="E55" s="346"/>
      <c r="F55" s="296"/>
      <c r="G55" s="1269"/>
      <c r="H55" s="1270"/>
      <c r="I55" s="355" t="s">
        <v>475</v>
      </c>
      <c r="J55" s="269"/>
      <c r="K55" s="387">
        <f>IF(D55="Y",J55*E55,"")</f>
        <v>0</v>
      </c>
      <c r="L55" s="145" t="str">
        <f>IFERROR(IF(D55="Y",K55/$K$58,0%),"0.0%")</f>
        <v>0.0%</v>
      </c>
      <c r="M55" s="139" t="s">
        <v>56</v>
      </c>
    </row>
    <row r="56" spans="1:22" ht="15.75" thickBot="1" x14ac:dyDescent="0.3">
      <c r="A56" s="21" t="s">
        <v>53</v>
      </c>
      <c r="B56" s="112" t="str">
        <f>A53</f>
        <v>Other Activity in Admin &amp; Accommodation Area Specific to this Operation</v>
      </c>
      <c r="C56" s="23"/>
      <c r="D56" s="24"/>
      <c r="E56" s="25"/>
      <c r="F56" s="24"/>
      <c r="G56" s="24"/>
      <c r="H56" s="24"/>
      <c r="I56" s="26"/>
      <c r="J56" s="27"/>
      <c r="K56" s="28">
        <f>SUM(K53:K55)</f>
        <v>0</v>
      </c>
      <c r="L56" s="24"/>
      <c r="M56" s="29"/>
    </row>
    <row r="57" spans="1:22" x14ac:dyDescent="0.25">
      <c r="A57" s="3"/>
      <c r="B57" s="481"/>
      <c r="C57" s="30"/>
      <c r="D57" s="9"/>
      <c r="E57" s="31"/>
      <c r="F57" s="9"/>
      <c r="G57" s="9"/>
      <c r="H57" s="9"/>
      <c r="I57" s="32"/>
      <c r="J57" s="2"/>
      <c r="K57" s="77"/>
      <c r="L57" s="9"/>
      <c r="M57" s="30"/>
    </row>
    <row r="58" spans="1:22" ht="27" customHeight="1" x14ac:dyDescent="0.25">
      <c r="A58" s="3"/>
      <c r="B58" s="481"/>
      <c r="C58" s="30"/>
      <c r="D58" s="9"/>
      <c r="E58" s="31"/>
      <c r="F58" s="9"/>
      <c r="G58" s="9"/>
      <c r="H58" s="9"/>
      <c r="J58" s="34" t="s">
        <v>664</v>
      </c>
      <c r="K58" s="53">
        <f>K56+K52+K36+K24</f>
        <v>0</v>
      </c>
      <c r="L58" s="9"/>
      <c r="M58" s="30"/>
    </row>
    <row r="59" spans="1:22" ht="27" customHeight="1" x14ac:dyDescent="0.25">
      <c r="A59" s="3"/>
      <c r="B59" s="481"/>
      <c r="C59" s="30"/>
      <c r="D59" s="9"/>
      <c r="E59" s="31"/>
      <c r="F59" s="9"/>
      <c r="G59" s="9"/>
      <c r="H59" s="9"/>
      <c r="I59" s="32"/>
      <c r="J59" s="2"/>
      <c r="K59" s="77"/>
      <c r="L59" s="9"/>
      <c r="M59" s="30"/>
    </row>
    <row r="60" spans="1:22" ht="27" customHeight="1" x14ac:dyDescent="0.25">
      <c r="A60" s="3"/>
      <c r="B60" s="481"/>
      <c r="C60" s="30"/>
      <c r="D60" s="9"/>
      <c r="E60" s="31"/>
      <c r="F60" s="9"/>
      <c r="G60" s="9"/>
      <c r="H60" s="9"/>
      <c r="I60" s="32"/>
      <c r="J60" s="2"/>
      <c r="K60" s="77"/>
      <c r="L60" s="9"/>
      <c r="M60" s="30"/>
    </row>
    <row r="61" spans="1:22" x14ac:dyDescent="0.25">
      <c r="A61" s="3"/>
      <c r="B61" s="481"/>
      <c r="C61" s="30"/>
      <c r="D61" s="9"/>
      <c r="E61" s="31"/>
      <c r="F61" s="9"/>
      <c r="G61" s="9"/>
      <c r="H61" s="9"/>
      <c r="I61" s="32"/>
      <c r="J61" s="2"/>
      <c r="K61" s="77"/>
      <c r="L61" s="9"/>
      <c r="M61" s="30"/>
    </row>
    <row r="62" spans="1:22" x14ac:dyDescent="0.25">
      <c r="A62" s="3"/>
      <c r="B62" s="481"/>
      <c r="C62" s="30"/>
      <c r="D62" s="9"/>
      <c r="E62" s="31"/>
      <c r="F62" s="9"/>
      <c r="G62" s="9"/>
      <c r="H62" s="9"/>
      <c r="I62" s="32"/>
      <c r="J62" s="2"/>
      <c r="K62" s="77"/>
      <c r="L62" s="9"/>
      <c r="M62" s="30"/>
    </row>
    <row r="63" spans="1:22" ht="15.75" x14ac:dyDescent="0.25">
      <c r="A63" s="3"/>
      <c r="B63" s="481"/>
      <c r="C63" s="30"/>
      <c r="D63" s="9"/>
      <c r="E63" s="54"/>
      <c r="F63" s="9"/>
      <c r="G63" s="9"/>
      <c r="H63" s="9"/>
      <c r="I63" s="32"/>
      <c r="J63" s="2"/>
      <c r="K63" s="77"/>
      <c r="L63" s="9"/>
      <c r="M63" s="30"/>
    </row>
    <row r="64" spans="1:22" x14ac:dyDescent="0.25">
      <c r="A64" s="3"/>
      <c r="B64" s="481"/>
      <c r="C64" s="30"/>
      <c r="D64" s="9"/>
      <c r="E64" s="31"/>
      <c r="F64" s="9"/>
      <c r="G64" s="9"/>
      <c r="H64" s="9"/>
      <c r="I64" s="32"/>
      <c r="J64" s="2"/>
      <c r="K64" s="77"/>
      <c r="L64" s="9"/>
      <c r="M64" s="30"/>
    </row>
    <row r="65" spans="1:13" x14ac:dyDescent="0.25">
      <c r="A65" s="3"/>
      <c r="B65" s="481"/>
      <c r="C65" s="30"/>
      <c r="D65" s="9"/>
      <c r="E65" s="31"/>
      <c r="F65" s="9"/>
      <c r="G65" s="9"/>
      <c r="H65" s="9"/>
      <c r="I65" s="32"/>
      <c r="J65" s="2"/>
      <c r="K65" s="77"/>
      <c r="L65" s="9"/>
      <c r="M65" s="30"/>
    </row>
    <row r="66" spans="1:13" x14ac:dyDescent="0.25">
      <c r="A66" s="3"/>
      <c r="B66" s="481"/>
      <c r="C66" s="30"/>
      <c r="D66" s="9"/>
      <c r="E66" s="31"/>
      <c r="F66" s="9"/>
      <c r="G66" s="9"/>
      <c r="H66" s="9"/>
      <c r="I66" s="32"/>
      <c r="J66" s="2"/>
      <c r="K66" s="77"/>
      <c r="L66" s="9"/>
      <c r="M66" s="30"/>
    </row>
    <row r="67" spans="1:13" x14ac:dyDescent="0.25">
      <c r="A67" s="3"/>
      <c r="B67" s="481"/>
      <c r="C67" s="30"/>
      <c r="D67" s="9"/>
      <c r="E67" s="31"/>
      <c r="F67" s="9"/>
      <c r="G67" s="9"/>
      <c r="H67" s="9"/>
      <c r="I67" s="32"/>
      <c r="J67" s="2"/>
      <c r="K67" s="77"/>
      <c r="L67" s="9"/>
      <c r="M67" s="30"/>
    </row>
    <row r="68" spans="1:13" x14ac:dyDescent="0.25">
      <c r="A68" s="3"/>
      <c r="B68" s="481"/>
      <c r="C68" s="30"/>
      <c r="D68" s="9"/>
      <c r="E68" s="31"/>
      <c r="F68" s="9"/>
      <c r="G68" s="9"/>
      <c r="H68" s="9"/>
      <c r="I68" s="32"/>
      <c r="J68" s="2"/>
      <c r="K68" s="77"/>
      <c r="L68" s="9"/>
      <c r="M68" s="30"/>
    </row>
    <row r="69" spans="1:13" x14ac:dyDescent="0.25">
      <c r="A69" s="3"/>
      <c r="B69" s="481"/>
      <c r="C69" s="30"/>
      <c r="D69" s="9"/>
      <c r="E69" s="31"/>
      <c r="F69" s="9"/>
      <c r="G69" s="9"/>
      <c r="H69" s="9"/>
      <c r="I69" s="32"/>
      <c r="J69" s="2"/>
      <c r="K69" s="77"/>
      <c r="L69" s="9"/>
      <c r="M69" s="30"/>
    </row>
    <row r="70" spans="1:13" x14ac:dyDescent="0.25">
      <c r="A70" s="3"/>
      <c r="B70" s="481"/>
      <c r="C70" s="30"/>
      <c r="D70" s="9"/>
      <c r="E70" s="9"/>
      <c r="F70" s="9"/>
      <c r="G70" s="9"/>
      <c r="H70" s="9"/>
      <c r="I70" s="32"/>
      <c r="J70" s="2"/>
      <c r="K70" s="77"/>
      <c r="L70" s="9"/>
      <c r="M70" s="30"/>
    </row>
    <row r="71" spans="1:13" x14ac:dyDescent="0.25">
      <c r="A71" s="3"/>
      <c r="B71" s="481"/>
      <c r="C71" s="30"/>
      <c r="D71" s="9"/>
      <c r="E71" s="9"/>
      <c r="F71" s="9"/>
      <c r="G71" s="9"/>
      <c r="H71" s="9"/>
      <c r="I71" s="32"/>
      <c r="J71" s="2"/>
      <c r="K71" s="77"/>
      <c r="L71" s="9"/>
      <c r="M71" s="30"/>
    </row>
    <row r="72" spans="1:13" x14ac:dyDescent="0.25">
      <c r="C72" s="30"/>
      <c r="D72" s="9"/>
      <c r="E72" s="9"/>
      <c r="F72" s="9"/>
      <c r="G72" s="9"/>
      <c r="H72" s="9"/>
      <c r="I72" s="32"/>
      <c r="J72" s="2"/>
      <c r="K72" s="9"/>
      <c r="L72" s="9"/>
      <c r="M72" s="30"/>
    </row>
    <row r="73" spans="1:13" x14ac:dyDescent="0.25">
      <c r="C73" s="30"/>
      <c r="D73" s="9"/>
      <c r="E73" s="9"/>
      <c r="F73" s="9"/>
      <c r="G73" s="9"/>
      <c r="H73" s="9"/>
      <c r="I73" s="32"/>
      <c r="J73" s="2"/>
      <c r="K73" s="9"/>
      <c r="L73" s="9"/>
      <c r="M73" s="30"/>
    </row>
    <row r="74" spans="1:13" x14ac:dyDescent="0.25">
      <c r="C74" s="30"/>
      <c r="D74" s="9"/>
      <c r="E74" s="9"/>
      <c r="F74" s="9"/>
      <c r="G74" s="9"/>
      <c r="H74" s="9"/>
      <c r="I74" s="9"/>
      <c r="J74" s="9"/>
      <c r="K74" s="9"/>
      <c r="L74" s="9"/>
      <c r="M74" s="30"/>
    </row>
    <row r="75" spans="1:13" x14ac:dyDescent="0.25">
      <c r="D75" s="9"/>
      <c r="E75" s="9"/>
      <c r="F75" s="9"/>
      <c r="G75" s="9"/>
      <c r="H75" s="9"/>
      <c r="I75" s="9"/>
      <c r="J75" s="9"/>
      <c r="K75" s="9"/>
      <c r="L75" s="9"/>
    </row>
    <row r="76" spans="1:13" x14ac:dyDescent="0.25">
      <c r="D76" s="9"/>
      <c r="E76" s="9"/>
      <c r="F76" s="9"/>
      <c r="G76" s="9"/>
      <c r="H76" s="9"/>
      <c r="I76" s="9"/>
      <c r="J76" s="9"/>
      <c r="K76" s="9"/>
      <c r="L76" s="9"/>
    </row>
    <row r="77" spans="1:13" x14ac:dyDescent="0.25">
      <c r="D77" s="9"/>
      <c r="E77" s="9"/>
      <c r="F77" s="9"/>
      <c r="G77" s="9"/>
      <c r="H77" s="9"/>
      <c r="I77" s="9"/>
      <c r="J77" s="9"/>
      <c r="K77" s="9"/>
      <c r="L77" s="9"/>
    </row>
    <row r="78" spans="1:13" x14ac:dyDescent="0.25">
      <c r="D78" s="9"/>
      <c r="E78" s="9"/>
      <c r="F78" s="9"/>
      <c r="G78" s="9"/>
      <c r="H78" s="9"/>
      <c r="I78" s="9"/>
      <c r="J78" s="9"/>
      <c r="K78" s="9"/>
      <c r="L78" s="9"/>
    </row>
    <row r="79" spans="1:13" x14ac:dyDescent="0.25">
      <c r="D79" s="9"/>
      <c r="E79" s="9"/>
      <c r="F79" s="9"/>
      <c r="G79" s="9"/>
      <c r="H79" s="9"/>
      <c r="I79" s="9"/>
      <c r="J79" s="9"/>
      <c r="K79" s="9"/>
      <c r="L79" s="9"/>
    </row>
    <row r="80" spans="1:13" x14ac:dyDescent="0.25">
      <c r="D80" s="9"/>
      <c r="E80" s="9"/>
      <c r="F80" s="9"/>
      <c r="G80" s="9"/>
      <c r="H80" s="9"/>
      <c r="I80" s="9"/>
      <c r="J80" s="9"/>
      <c r="K80" s="9"/>
      <c r="L80" s="9"/>
    </row>
    <row r="81" spans="4:12" x14ac:dyDescent="0.25">
      <c r="D81" s="9"/>
      <c r="E81" s="9"/>
      <c r="F81" s="9"/>
      <c r="G81" s="9"/>
      <c r="H81" s="9"/>
      <c r="I81" s="9"/>
      <c r="J81" s="9"/>
      <c r="K81" s="9"/>
      <c r="L81" s="9"/>
    </row>
    <row r="82" spans="4:12" x14ac:dyDescent="0.25">
      <c r="D82" s="9"/>
      <c r="E82" s="9"/>
      <c r="F82" s="9"/>
      <c r="G82" s="9"/>
      <c r="H82" s="9"/>
      <c r="I82" s="9"/>
      <c r="J82" s="9"/>
      <c r="K82" s="9"/>
      <c r="L82" s="9"/>
    </row>
    <row r="83" spans="4:12" x14ac:dyDescent="0.25">
      <c r="D83" s="9"/>
      <c r="E83" s="9"/>
      <c r="F83" s="9"/>
      <c r="G83" s="9"/>
      <c r="H83" s="9"/>
      <c r="I83" s="9"/>
      <c r="J83" s="9"/>
      <c r="K83" s="9"/>
      <c r="L83" s="9"/>
    </row>
    <row r="84" spans="4:12" x14ac:dyDescent="0.25">
      <c r="D84" s="9"/>
      <c r="E84" s="9"/>
      <c r="F84" s="9"/>
      <c r="G84" s="9"/>
      <c r="H84" s="9"/>
      <c r="I84" s="9"/>
      <c r="J84" s="9"/>
      <c r="K84" s="9"/>
      <c r="L84" s="9"/>
    </row>
    <row r="85" spans="4:12" x14ac:dyDescent="0.25">
      <c r="D85" s="9"/>
      <c r="E85" s="9"/>
      <c r="F85" s="9"/>
      <c r="G85" s="9"/>
      <c r="H85" s="9"/>
      <c r="I85" s="9"/>
      <c r="J85" s="9"/>
      <c r="K85" s="9"/>
      <c r="L85" s="9"/>
    </row>
    <row r="86" spans="4:12" x14ac:dyDescent="0.25">
      <c r="D86" s="9"/>
      <c r="E86" s="9"/>
      <c r="F86" s="9"/>
      <c r="G86" s="9"/>
      <c r="H86" s="9"/>
      <c r="I86" s="9"/>
      <c r="J86" s="9"/>
      <c r="K86" s="9"/>
      <c r="L86" s="9"/>
    </row>
  </sheetData>
  <sheetProtection sheet="1" formatCells="0" formatRows="0" selectLockedCells="1"/>
  <mergeCells count="57">
    <mergeCell ref="Q21:T21"/>
    <mergeCell ref="G41:H41"/>
    <mergeCell ref="G42:H42"/>
    <mergeCell ref="A37:A51"/>
    <mergeCell ref="G21:H21"/>
    <mergeCell ref="G26:H26"/>
    <mergeCell ref="G32:H32"/>
    <mergeCell ref="G34:H34"/>
    <mergeCell ref="G35:H35"/>
    <mergeCell ref="A22:A23"/>
    <mergeCell ref="G22:H22"/>
    <mergeCell ref="G23:H23"/>
    <mergeCell ref="G33:H33"/>
    <mergeCell ref="G44:H44"/>
    <mergeCell ref="G45:H45"/>
    <mergeCell ref="G46:H46"/>
    <mergeCell ref="G47:H47"/>
    <mergeCell ref="A53:A55"/>
    <mergeCell ref="G53:H53"/>
    <mergeCell ref="G54:H54"/>
    <mergeCell ref="G25:H25"/>
    <mergeCell ref="G29:H29"/>
    <mergeCell ref="G30:H30"/>
    <mergeCell ref="G55:H55"/>
    <mergeCell ref="G48:H48"/>
    <mergeCell ref="G49:H49"/>
    <mergeCell ref="G51:H51"/>
    <mergeCell ref="G38:H38"/>
    <mergeCell ref="G28:H28"/>
    <mergeCell ref="G40:H40"/>
    <mergeCell ref="G50:H50"/>
    <mergeCell ref="G43:H43"/>
    <mergeCell ref="A25:A35"/>
    <mergeCell ref="L20:M20"/>
    <mergeCell ref="A5:E6"/>
    <mergeCell ref="G5:J5"/>
    <mergeCell ref="G6:M7"/>
    <mergeCell ref="B7:E7"/>
    <mergeCell ref="B8:E8"/>
    <mergeCell ref="G8:M19"/>
    <mergeCell ref="B9:E9"/>
    <mergeCell ref="B10:E10"/>
    <mergeCell ref="B11:E11"/>
    <mergeCell ref="B12:E12"/>
    <mergeCell ref="A14:B14"/>
    <mergeCell ref="C14:E14"/>
    <mergeCell ref="A15:B15"/>
    <mergeCell ref="C15:E15"/>
    <mergeCell ref="A16:E19"/>
    <mergeCell ref="R1:V1"/>
    <mergeCell ref="R9:V9"/>
    <mergeCell ref="K1:L1"/>
    <mergeCell ref="C2:E2"/>
    <mergeCell ref="C3:E3"/>
    <mergeCell ref="F1:J3"/>
    <mergeCell ref="A1:B1"/>
    <mergeCell ref="C1:E1"/>
  </mergeCells>
  <dataValidations count="4">
    <dataValidation type="list" allowBlank="1" showInputMessage="1" showErrorMessage="1" sqref="H39" xr:uid="{00000000-0002-0000-1600-000000000000}">
      <formula1>$U$11:$U$15</formula1>
    </dataValidation>
    <dataValidation type="list" allowBlank="1" showInputMessage="1" showErrorMessage="1" sqref="H37" xr:uid="{00000000-0002-0000-1600-000001000000}">
      <formula1>$U$3:$U$7</formula1>
    </dataValidation>
    <dataValidation type="list" allowBlank="1" showInputMessage="1" showErrorMessage="1" sqref="H27" xr:uid="{00000000-0002-0000-1600-000002000000}">
      <formula1>$AA$9:$AA$15</formula1>
    </dataValidation>
    <dataValidation type="list" allowBlank="1" showInputMessage="1" showErrorMessage="1" sqref="H31" xr:uid="{00000000-0002-0000-1600-000003000000}">
      <formula1>$AA$20:$AA$26</formula1>
    </dataValidation>
  </dataValidations>
  <pageMargins left="0.70866141732283472" right="0.70866141732283472" top="0.74803149606299213" bottom="0.74803149606299213" header="0.31496062992125984" footer="0.31496062992125984"/>
  <pageSetup paperSize="9" scale="49" fitToHeight="3" orientation="landscape" r:id="rId1"/>
  <headerFooter>
    <oddHeader>&amp;LDepartment for Energy and Mining&amp;C&amp;"Arial"&amp;12&amp;KA80000 OFFICIAL&amp;1#_x000D_</oddHeader>
    <oddFooter>&amp;L&amp;Z
&amp;F&amp;C&amp;P&amp;R&amp;D</oddFooter>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pageSetUpPr fitToPage="1"/>
  </sheetPr>
  <dimension ref="A1:AU91"/>
  <sheetViews>
    <sheetView showGridLines="0" zoomScale="90" zoomScaleNormal="90" workbookViewId="0">
      <selection activeCell="G8" sqref="G8:M19"/>
    </sheetView>
  </sheetViews>
  <sheetFormatPr defaultRowHeight="15" x14ac:dyDescent="0.25"/>
  <cols>
    <col min="1" max="1" width="21.140625" customWidth="1"/>
    <col min="2" max="2" width="10.42578125" style="56" customWidth="1"/>
    <col min="3" max="3" width="38.42578125" customWidth="1"/>
    <col min="4" max="4" width="13.5703125" customWidth="1"/>
    <col min="5" max="5" width="11" customWidth="1"/>
    <col min="7" max="7" width="21.5703125" customWidth="1"/>
    <col min="8" max="8" width="15" customWidth="1"/>
    <col min="9" max="9" width="13.5703125" customWidth="1"/>
    <col min="10" max="10" width="12.140625" customWidth="1"/>
    <col min="11" max="11" width="16.7109375" customWidth="1"/>
    <col min="12" max="12" width="13.5703125" customWidth="1"/>
    <col min="13" max="13" width="63.85546875" customWidth="1"/>
    <col min="16" max="16" width="14.85546875" customWidth="1"/>
    <col min="17" max="17" width="11.7109375" customWidth="1"/>
    <col min="18" max="18" width="12.42578125" customWidth="1"/>
    <col min="19" max="19" width="11" customWidth="1"/>
    <col min="20" max="20" width="15.28515625" customWidth="1"/>
    <col min="21" max="21" width="13.85546875" customWidth="1"/>
    <col min="22" max="22" width="12" customWidth="1"/>
  </cols>
  <sheetData>
    <row r="1" spans="1:47" ht="54" customHeight="1" x14ac:dyDescent="0.3">
      <c r="A1" s="1322" t="s">
        <v>522</v>
      </c>
      <c r="B1" s="1323"/>
      <c r="C1" s="1324" t="str">
        <f>'Summary Page'!E13</f>
        <v/>
      </c>
      <c r="D1" s="1325"/>
      <c r="E1" s="1326"/>
      <c r="F1" s="1360" t="s">
        <v>667</v>
      </c>
      <c r="G1" s="1285"/>
      <c r="H1" s="1285"/>
      <c r="I1" s="1285"/>
      <c r="J1" s="1286"/>
      <c r="K1" s="1295" t="s">
        <v>460</v>
      </c>
      <c r="L1" s="1295"/>
      <c r="M1" s="404"/>
      <c r="P1" s="525" t="str">
        <f>B42</f>
        <v>A1006</v>
      </c>
      <c r="Q1" s="526" t="s">
        <v>19</v>
      </c>
      <c r="R1" s="1273" t="s">
        <v>893</v>
      </c>
      <c r="S1" s="1274"/>
      <c r="T1" s="1274"/>
      <c r="U1" s="1274"/>
      <c r="V1" s="1275"/>
      <c r="AA1" s="276"/>
      <c r="AB1" s="280"/>
      <c r="AC1" s="280"/>
      <c r="AL1" s="276" t="s">
        <v>397</v>
      </c>
      <c r="AM1" s="280"/>
      <c r="AN1" s="280"/>
    </row>
    <row r="2" spans="1:47" ht="30" x14ac:dyDescent="0.35">
      <c r="A2" s="368" t="s">
        <v>461</v>
      </c>
      <c r="B2" s="325">
        <v>11</v>
      </c>
      <c r="C2" s="1296" t="str">
        <f>'Summary Page'!E19</f>
        <v/>
      </c>
      <c r="D2" s="1297"/>
      <c r="E2" s="1348"/>
      <c r="F2" s="1287"/>
      <c r="G2" s="1288"/>
      <c r="H2" s="1288"/>
      <c r="I2" s="1288"/>
      <c r="J2" s="1289"/>
      <c r="K2" s="326"/>
      <c r="L2" s="327" t="s">
        <v>152</v>
      </c>
      <c r="M2" s="328">
        <f>K63</f>
        <v>0</v>
      </c>
      <c r="P2" s="297" t="s">
        <v>61</v>
      </c>
      <c r="Q2" s="371" t="s">
        <v>58</v>
      </c>
      <c r="R2" s="371" t="s">
        <v>59</v>
      </c>
      <c r="S2" s="371" t="s">
        <v>60</v>
      </c>
      <c r="T2" s="371" t="s">
        <v>53</v>
      </c>
      <c r="U2" s="372" t="s">
        <v>61</v>
      </c>
      <c r="V2" s="373" t="s">
        <v>53</v>
      </c>
      <c r="AA2" s="503" t="s">
        <v>395</v>
      </c>
      <c r="AB2" s="512" t="s">
        <v>936</v>
      </c>
      <c r="AC2" s="233"/>
      <c r="AL2" s="503" t="s">
        <v>727</v>
      </c>
      <c r="AM2" s="512" t="s">
        <v>937</v>
      </c>
      <c r="AN2" s="233"/>
      <c r="AS2" s="503" t="s">
        <v>729</v>
      </c>
      <c r="AT2" s="512" t="s">
        <v>938</v>
      </c>
      <c r="AU2" s="233"/>
    </row>
    <row r="3" spans="1:47" ht="21" x14ac:dyDescent="0.25">
      <c r="A3" s="329" t="s">
        <v>267</v>
      </c>
      <c r="B3" s="477">
        <f>'Version Control'!B50</f>
        <v>7</v>
      </c>
      <c r="C3" s="1356"/>
      <c r="D3" s="1357"/>
      <c r="E3" s="1358"/>
      <c r="F3" s="1290"/>
      <c r="G3" s="1291"/>
      <c r="H3" s="1291"/>
      <c r="I3" s="1291"/>
      <c r="J3" s="1292"/>
      <c r="K3" s="331"/>
      <c r="L3" s="332" t="s">
        <v>462</v>
      </c>
      <c r="M3" s="333">
        <f>'Summary Page'!J73</f>
        <v>0</v>
      </c>
      <c r="P3" s="374" t="s">
        <v>35</v>
      </c>
      <c r="Q3" s="357">
        <f>VLOOKUP(P1,Activities!$A$10:$Q$152,16,FALSE)</f>
        <v>1.1086505828514972</v>
      </c>
      <c r="R3" s="357">
        <f>VLOOKUP(Q1,Activities!$A$10:$Q$152,16,FALSE)</f>
        <v>1.1303836975020005</v>
      </c>
      <c r="S3" s="376">
        <v>1</v>
      </c>
      <c r="T3" s="375">
        <f>R3+Q3</f>
        <v>2.2390342803534979</v>
      </c>
      <c r="U3" s="235" t="s">
        <v>35</v>
      </c>
      <c r="V3" s="377">
        <f>T3</f>
        <v>2.2390342803534979</v>
      </c>
      <c r="AA3" s="511"/>
      <c r="AB3" s="512"/>
      <c r="AC3" s="451" t="s">
        <v>700</v>
      </c>
      <c r="AL3" s="511"/>
      <c r="AM3" s="512"/>
      <c r="AN3" s="451" t="s">
        <v>700</v>
      </c>
      <c r="AS3" s="511"/>
      <c r="AT3" s="512"/>
      <c r="AU3" s="451" t="s">
        <v>700</v>
      </c>
    </row>
    <row r="4" spans="1:47" ht="15" customHeight="1" x14ac:dyDescent="0.25">
      <c r="A4" s="334" t="s">
        <v>463</v>
      </c>
      <c r="B4" s="478">
        <f>'Version Control'!A50</f>
        <v>45531</v>
      </c>
      <c r="C4" s="233"/>
      <c r="D4" s="233"/>
      <c r="E4" s="233"/>
      <c r="F4" s="233"/>
      <c r="G4" s="233"/>
      <c r="H4" s="233"/>
      <c r="I4" s="233"/>
      <c r="J4" s="233"/>
      <c r="K4" s="294"/>
      <c r="L4" s="336" t="s">
        <v>464</v>
      </c>
      <c r="M4" s="337" t="e">
        <f>M2/M3</f>
        <v>#DIV/0!</v>
      </c>
      <c r="P4" s="374" t="s">
        <v>36</v>
      </c>
      <c r="Q4" s="375">
        <f>Q3</f>
        <v>1.1086505828514972</v>
      </c>
      <c r="R4" s="375">
        <f>R3*2</f>
        <v>2.260767395004001</v>
      </c>
      <c r="S4" s="376">
        <v>0.8</v>
      </c>
      <c r="T4" s="375">
        <f>Q4+(R4*S4)</f>
        <v>2.9172644988546983</v>
      </c>
      <c r="U4" s="235" t="s">
        <v>36</v>
      </c>
      <c r="V4" s="377">
        <f>T4</f>
        <v>2.9172644988546983</v>
      </c>
      <c r="AA4" s="362" t="s">
        <v>648</v>
      </c>
      <c r="AB4" s="357"/>
      <c r="AC4" s="357">
        <f>VLOOKUP(AA2,Activities!$A$10:$Q$152,16,FALSE)</f>
        <v>83.477353390123142</v>
      </c>
      <c r="AL4" s="362" t="s">
        <v>648</v>
      </c>
      <c r="AM4" s="357"/>
      <c r="AN4" s="357">
        <f>VLOOKUP(AL2,Activities!$A$10:$Q$152,16,FALSE)</f>
        <v>276.88626505067236</v>
      </c>
      <c r="AS4" s="362" t="s">
        <v>648</v>
      </c>
      <c r="AT4" s="357"/>
      <c r="AU4" s="357">
        <f>VLOOKUP(AS2,Activities!$A$10:$Q$152,16,FALSE)</f>
        <v>221.88626505067236</v>
      </c>
    </row>
    <row r="5" spans="1:47" ht="15" customHeight="1" x14ac:dyDescent="0.25">
      <c r="A5" s="1349" t="s">
        <v>465</v>
      </c>
      <c r="B5" s="1298"/>
      <c r="C5" s="1298"/>
      <c r="D5" s="1298"/>
      <c r="E5" s="1299"/>
      <c r="F5" s="233"/>
      <c r="G5" s="1302" t="s">
        <v>466</v>
      </c>
      <c r="H5" s="1303"/>
      <c r="I5" s="1303"/>
      <c r="J5" s="1304"/>
      <c r="K5" s="233"/>
      <c r="L5" s="233"/>
      <c r="M5" s="233"/>
      <c r="P5" s="374" t="s">
        <v>37</v>
      </c>
      <c r="Q5" s="375">
        <f t="shared" ref="Q5:Q6" si="0">Q4</f>
        <v>1.1086505828514972</v>
      </c>
      <c r="R5" s="375">
        <f>R3*4</f>
        <v>4.5215347900080021</v>
      </c>
      <c r="S5" s="376">
        <v>0.7</v>
      </c>
      <c r="T5" s="375">
        <f>Q5+(R5*S5)</f>
        <v>4.2737249358570981</v>
      </c>
      <c r="U5" s="235" t="s">
        <v>37</v>
      </c>
      <c r="V5" s="377">
        <f>T5</f>
        <v>4.2737249358570981</v>
      </c>
    </row>
    <row r="6" spans="1:47" ht="21" customHeight="1" x14ac:dyDescent="0.25">
      <c r="A6" s="1350"/>
      <c r="B6" s="1351"/>
      <c r="C6" s="1351"/>
      <c r="D6" s="1351"/>
      <c r="E6" s="1352"/>
      <c r="F6" s="299"/>
      <c r="G6" s="1305" t="s">
        <v>484</v>
      </c>
      <c r="H6" s="1306"/>
      <c r="I6" s="1306"/>
      <c r="J6" s="1306"/>
      <c r="K6" s="1306"/>
      <c r="L6" s="1306"/>
      <c r="M6" s="1307"/>
      <c r="P6" s="374" t="s">
        <v>38</v>
      </c>
      <c r="Q6" s="375">
        <f t="shared" si="0"/>
        <v>1.1086505828514972</v>
      </c>
      <c r="R6" s="375">
        <f>R3*8</f>
        <v>9.0430695800160041</v>
      </c>
      <c r="S6" s="376">
        <v>0.6</v>
      </c>
      <c r="T6" s="375">
        <f>Q6+(R6*S6)</f>
        <v>6.5344923308610987</v>
      </c>
      <c r="U6" s="235" t="s">
        <v>244</v>
      </c>
      <c r="V6" s="377">
        <f>T6</f>
        <v>6.5344923308610987</v>
      </c>
      <c r="AA6" s="503" t="s">
        <v>396</v>
      </c>
      <c r="AB6" s="512" t="s">
        <v>935</v>
      </c>
      <c r="AC6" s="233"/>
      <c r="AL6" s="56" t="s">
        <v>939</v>
      </c>
      <c r="AS6" s="56" t="s">
        <v>939</v>
      </c>
    </row>
    <row r="7" spans="1:47" ht="15" customHeight="1" x14ac:dyDescent="0.25">
      <c r="A7" s="348">
        <v>1</v>
      </c>
      <c r="B7" s="1353" t="s">
        <v>519</v>
      </c>
      <c r="C7" s="1354"/>
      <c r="D7" s="1354"/>
      <c r="E7" s="1355"/>
      <c r="F7" s="339"/>
      <c r="G7" s="1308"/>
      <c r="H7" s="1309"/>
      <c r="I7" s="1309"/>
      <c r="J7" s="1309"/>
      <c r="K7" s="1309"/>
      <c r="L7" s="1309"/>
      <c r="M7" s="1310"/>
      <c r="P7" s="238"/>
      <c r="Q7" s="236"/>
      <c r="R7" s="236"/>
      <c r="S7" s="236"/>
      <c r="T7" s="236"/>
      <c r="U7" s="236" t="s">
        <v>264</v>
      </c>
      <c r="V7" s="237"/>
      <c r="AA7" s="508" t="s">
        <v>61</v>
      </c>
      <c r="AB7" s="509" t="s">
        <v>648</v>
      </c>
      <c r="AC7" s="508" t="s">
        <v>140</v>
      </c>
      <c r="AL7" s="508" t="s">
        <v>61</v>
      </c>
      <c r="AM7" s="509" t="s">
        <v>648</v>
      </c>
      <c r="AS7" s="508" t="s">
        <v>61</v>
      </c>
      <c r="AT7" s="509" t="s">
        <v>648</v>
      </c>
    </row>
    <row r="8" spans="1:47" ht="18.75" customHeight="1" x14ac:dyDescent="0.25">
      <c r="A8" s="297">
        <v>2</v>
      </c>
      <c r="B8" s="1340" t="s">
        <v>665</v>
      </c>
      <c r="C8" s="1341"/>
      <c r="D8" s="1341"/>
      <c r="E8" s="1342"/>
      <c r="F8" s="339"/>
      <c r="G8" s="1137"/>
      <c r="H8" s="1138"/>
      <c r="I8" s="1138"/>
      <c r="J8" s="1138"/>
      <c r="K8" s="1138"/>
      <c r="L8" s="1138"/>
      <c r="M8" s="1139"/>
      <c r="P8" s="233"/>
      <c r="Q8" s="233"/>
      <c r="R8" s="233"/>
      <c r="S8" s="233"/>
      <c r="T8" s="233"/>
      <c r="U8" s="233"/>
      <c r="V8" s="233"/>
      <c r="AA8" s="462" t="s">
        <v>54</v>
      </c>
      <c r="AB8" s="509" t="s">
        <v>700</v>
      </c>
      <c r="AC8" s="462"/>
      <c r="AL8" s="462" t="s">
        <v>54</v>
      </c>
      <c r="AM8" s="509" t="s">
        <v>700</v>
      </c>
      <c r="AS8" s="462" t="s">
        <v>54</v>
      </c>
      <c r="AT8" s="509" t="s">
        <v>700</v>
      </c>
    </row>
    <row r="9" spans="1:47" ht="15.75" customHeight="1" x14ac:dyDescent="0.25">
      <c r="A9" s="297">
        <v>3</v>
      </c>
      <c r="B9" s="1343" t="s">
        <v>666</v>
      </c>
      <c r="C9" s="1344"/>
      <c r="D9" s="1344"/>
      <c r="E9" s="1345"/>
      <c r="F9" s="339"/>
      <c r="G9" s="1140"/>
      <c r="H9" s="1329"/>
      <c r="I9" s="1329"/>
      <c r="J9" s="1329"/>
      <c r="K9" s="1329"/>
      <c r="L9" s="1329"/>
      <c r="M9" s="1142"/>
      <c r="P9" s="525" t="str">
        <f>B43</f>
        <v>A1013</v>
      </c>
      <c r="Q9" s="526" t="s">
        <v>19</v>
      </c>
      <c r="R9" s="1273" t="s">
        <v>72</v>
      </c>
      <c r="S9" s="1274"/>
      <c r="T9" s="1274"/>
      <c r="U9" s="1274"/>
      <c r="V9" s="1275"/>
      <c r="AA9" s="461">
        <v>25</v>
      </c>
      <c r="AB9" s="510">
        <f>VLOOKUP(AA6,Activities!A10:Q152,16,FALSE)</f>
        <v>9.0925833525454216</v>
      </c>
      <c r="AC9" s="461">
        <v>1</v>
      </c>
      <c r="AL9" s="461">
        <v>25</v>
      </c>
      <c r="AM9" s="510">
        <f>AN$4+AB9</f>
        <v>285.9788484032178</v>
      </c>
      <c r="AS9" s="461">
        <v>25</v>
      </c>
      <c r="AT9" s="510">
        <f>AU$4+AB9</f>
        <v>230.9788484032178</v>
      </c>
    </row>
    <row r="10" spans="1:47" ht="15" customHeight="1" x14ac:dyDescent="0.25">
      <c r="A10" s="297">
        <v>4</v>
      </c>
      <c r="B10" s="1327"/>
      <c r="C10" s="1327"/>
      <c r="D10" s="1327"/>
      <c r="E10" s="1328"/>
      <c r="F10" s="339"/>
      <c r="G10" s="1140"/>
      <c r="H10" s="1329"/>
      <c r="I10" s="1329"/>
      <c r="J10" s="1329"/>
      <c r="K10" s="1329"/>
      <c r="L10" s="1329"/>
      <c r="M10" s="1142"/>
      <c r="P10" s="297" t="s">
        <v>61</v>
      </c>
      <c r="Q10" s="371" t="s">
        <v>58</v>
      </c>
      <c r="R10" s="371" t="s">
        <v>59</v>
      </c>
      <c r="S10" s="371" t="s">
        <v>60</v>
      </c>
      <c r="T10" s="371" t="s">
        <v>53</v>
      </c>
      <c r="U10" s="372" t="s">
        <v>61</v>
      </c>
      <c r="V10" s="373" t="s">
        <v>53</v>
      </c>
      <c r="AA10" s="461">
        <v>50</v>
      </c>
      <c r="AB10" s="510">
        <f>AB$9*AC10</f>
        <v>13.086705201305357</v>
      </c>
      <c r="AC10" s="461">
        <v>1.4392725030826141</v>
      </c>
      <c r="AL10" s="461">
        <v>50</v>
      </c>
      <c r="AM10" s="510">
        <f t="shared" ref="AM10:AM14" si="1">AN$4+AB10</f>
        <v>289.9729702519777</v>
      </c>
      <c r="AS10" s="461">
        <v>50</v>
      </c>
      <c r="AT10" s="510">
        <f t="shared" ref="AT10:AT14" si="2">AU$4+AB10</f>
        <v>234.97297025197773</v>
      </c>
    </row>
    <row r="11" spans="1:47" ht="15" customHeight="1" x14ac:dyDescent="0.25">
      <c r="A11" s="297">
        <v>5</v>
      </c>
      <c r="B11" s="1330"/>
      <c r="C11" s="1331"/>
      <c r="D11" s="1331"/>
      <c r="E11" s="1332"/>
      <c r="F11" s="339"/>
      <c r="G11" s="1140"/>
      <c r="H11" s="1329"/>
      <c r="I11" s="1329"/>
      <c r="J11" s="1329"/>
      <c r="K11" s="1329"/>
      <c r="L11" s="1329"/>
      <c r="M11" s="1142"/>
      <c r="P11" s="374" t="s">
        <v>35</v>
      </c>
      <c r="Q11" s="357">
        <f>VLOOKUP(P9,Activities!$A$10:$Q$152,16,FALSE)</f>
        <v>1.4289323610931841</v>
      </c>
      <c r="R11" s="357">
        <f>VLOOKUP(Q9,Activities!$A$10:$Q$152,16,FALSE)</f>
        <v>1.1303836975020005</v>
      </c>
      <c r="S11" s="376">
        <v>1</v>
      </c>
      <c r="T11" s="375">
        <f>R11+Q11</f>
        <v>2.5593160585951846</v>
      </c>
      <c r="U11" s="235" t="s">
        <v>35</v>
      </c>
      <c r="V11" s="377">
        <f>T11</f>
        <v>2.5593160585951846</v>
      </c>
      <c r="AA11" s="461">
        <v>100</v>
      </c>
      <c r="AB11" s="510">
        <f>AB$9*AC11</f>
        <v>21.074948898825227</v>
      </c>
      <c r="AC11" s="461">
        <v>2.3178175092478424</v>
      </c>
      <c r="AL11" s="461">
        <v>100</v>
      </c>
      <c r="AM11" s="510">
        <f t="shared" si="1"/>
        <v>297.96121394949762</v>
      </c>
      <c r="AS11" s="461">
        <v>100</v>
      </c>
      <c r="AT11" s="510">
        <f t="shared" si="2"/>
        <v>242.96121394949759</v>
      </c>
    </row>
    <row r="12" spans="1:47" ht="15" customHeight="1" x14ac:dyDescent="0.25">
      <c r="A12" s="305">
        <v>6</v>
      </c>
      <c r="B12" s="1282"/>
      <c r="C12" s="1282"/>
      <c r="D12" s="1282"/>
      <c r="E12" s="1283"/>
      <c r="F12" s="233"/>
      <c r="G12" s="1140"/>
      <c r="H12" s="1329"/>
      <c r="I12" s="1329"/>
      <c r="J12" s="1329"/>
      <c r="K12" s="1329"/>
      <c r="L12" s="1329"/>
      <c r="M12" s="1142"/>
      <c r="P12" s="374" t="s">
        <v>36</v>
      </c>
      <c r="Q12" s="375">
        <f>Q11</f>
        <v>1.4289323610931841</v>
      </c>
      <c r="R12" s="375">
        <f>R11*2</f>
        <v>2.260767395004001</v>
      </c>
      <c r="S12" s="376">
        <v>0.8</v>
      </c>
      <c r="T12" s="375">
        <f>Q12+(R12*S12)</f>
        <v>3.237546277096385</v>
      </c>
      <c r="U12" s="235" t="s">
        <v>36</v>
      </c>
      <c r="V12" s="377">
        <f>T12</f>
        <v>3.237546277096385</v>
      </c>
      <c r="AA12" s="461">
        <v>200</v>
      </c>
      <c r="AB12" s="510">
        <f>AB$9*AC12</f>
        <v>37.05143629386496</v>
      </c>
      <c r="AC12" s="461">
        <v>4.0749075215782984</v>
      </c>
      <c r="AL12" s="461">
        <v>200</v>
      </c>
      <c r="AM12" s="510">
        <f t="shared" si="1"/>
        <v>313.93770134453734</v>
      </c>
      <c r="AS12" s="461">
        <v>200</v>
      </c>
      <c r="AT12" s="510">
        <f t="shared" si="2"/>
        <v>258.93770134453734</v>
      </c>
    </row>
    <row r="13" spans="1:47" ht="15" customHeight="1" x14ac:dyDescent="0.25">
      <c r="A13" s="340" t="s">
        <v>34</v>
      </c>
      <c r="B13" s="340"/>
      <c r="C13" s="233"/>
      <c r="D13" s="233"/>
      <c r="E13" s="233"/>
      <c r="F13" s="233"/>
      <c r="G13" s="1140"/>
      <c r="H13" s="1329"/>
      <c r="I13" s="1329"/>
      <c r="J13" s="1329"/>
      <c r="K13" s="1329"/>
      <c r="L13" s="1329"/>
      <c r="M13" s="1142"/>
      <c r="P13" s="374" t="s">
        <v>37</v>
      </c>
      <c r="Q13" s="375">
        <f t="shared" ref="Q13:Q14" si="3">Q12</f>
        <v>1.4289323610931841</v>
      </c>
      <c r="R13" s="375">
        <f>R11*4</f>
        <v>4.5215347900080021</v>
      </c>
      <c r="S13" s="376">
        <v>0.7</v>
      </c>
      <c r="T13" s="375">
        <f>Q13+(R13*S13)</f>
        <v>4.5940067140987857</v>
      </c>
      <c r="U13" s="235" t="s">
        <v>37</v>
      </c>
      <c r="V13" s="377">
        <f>T13</f>
        <v>4.5940067140987857</v>
      </c>
      <c r="AA13" s="461">
        <v>300</v>
      </c>
      <c r="AB13" s="510">
        <f>AB$9*AC13</f>
        <v>53.0279236889047</v>
      </c>
      <c r="AC13" s="461">
        <v>5.8319975339087549</v>
      </c>
      <c r="AL13" s="461">
        <v>300</v>
      </c>
      <c r="AM13" s="510">
        <f t="shared" si="1"/>
        <v>329.91418873957707</v>
      </c>
      <c r="AS13" s="461">
        <v>300</v>
      </c>
      <c r="AT13" s="510">
        <f t="shared" si="2"/>
        <v>274.91418873957707</v>
      </c>
    </row>
    <row r="14" spans="1:47" ht="15" customHeight="1" x14ac:dyDescent="0.25">
      <c r="A14" s="1276"/>
      <c r="B14" s="1277"/>
      <c r="C14" s="1278" t="s">
        <v>352</v>
      </c>
      <c r="D14" s="1278"/>
      <c r="E14" s="1279"/>
      <c r="F14" s="233"/>
      <c r="G14" s="1140"/>
      <c r="H14" s="1329"/>
      <c r="I14" s="1329"/>
      <c r="J14" s="1329"/>
      <c r="K14" s="1329"/>
      <c r="L14" s="1329"/>
      <c r="M14" s="1142"/>
      <c r="P14" s="374" t="s">
        <v>38</v>
      </c>
      <c r="Q14" s="375">
        <f t="shared" si="3"/>
        <v>1.4289323610931841</v>
      </c>
      <c r="R14" s="375">
        <f>R11*8</f>
        <v>9.0430695800160041</v>
      </c>
      <c r="S14" s="376">
        <v>0.6</v>
      </c>
      <c r="T14" s="375">
        <f>Q14+(R14*S14)</f>
        <v>6.8547741091027863</v>
      </c>
      <c r="U14" s="235" t="s">
        <v>244</v>
      </c>
      <c r="V14" s="377">
        <f>T14</f>
        <v>6.8547741091027863</v>
      </c>
      <c r="AA14" s="461">
        <v>400</v>
      </c>
      <c r="AB14" s="510">
        <f>AB$9*AC14</f>
        <v>69.004411083944447</v>
      </c>
      <c r="AC14" s="461">
        <v>7.5890875462392131</v>
      </c>
      <c r="AL14" s="461">
        <v>400</v>
      </c>
      <c r="AM14" s="510">
        <f t="shared" si="1"/>
        <v>345.8906761346168</v>
      </c>
      <c r="AS14" s="461">
        <v>400</v>
      </c>
      <c r="AT14" s="510">
        <f t="shared" si="2"/>
        <v>290.8906761346168</v>
      </c>
    </row>
    <row r="15" spans="1:47" x14ac:dyDescent="0.25">
      <c r="A15" s="1201"/>
      <c r="B15" s="1202"/>
      <c r="C15" s="1280" t="s">
        <v>467</v>
      </c>
      <c r="D15" s="1280"/>
      <c r="E15" s="1281"/>
      <c r="F15" s="233"/>
      <c r="G15" s="1140"/>
      <c r="H15" s="1329"/>
      <c r="I15" s="1329"/>
      <c r="J15" s="1329"/>
      <c r="K15" s="1329"/>
      <c r="L15" s="1329"/>
      <c r="M15" s="1142"/>
      <c r="P15" s="378"/>
      <c r="Q15" s="379"/>
      <c r="R15" s="379"/>
      <c r="S15" s="379"/>
      <c r="T15" s="379"/>
      <c r="U15" s="236" t="s">
        <v>264</v>
      </c>
      <c r="V15" s="380"/>
      <c r="AA15" s="233" t="s">
        <v>264</v>
      </c>
      <c r="AL15" s="233" t="s">
        <v>264</v>
      </c>
      <c r="AS15" s="233" t="s">
        <v>264</v>
      </c>
    </row>
    <row r="16" spans="1:47" ht="15" customHeight="1" x14ac:dyDescent="0.25">
      <c r="A16" s="1284" t="s">
        <v>824</v>
      </c>
      <c r="B16" s="1285"/>
      <c r="C16" s="1285"/>
      <c r="D16" s="1285"/>
      <c r="E16" s="1286"/>
      <c r="F16" s="233"/>
      <c r="G16" s="1140"/>
      <c r="H16" s="1329"/>
      <c r="I16" s="1329"/>
      <c r="J16" s="1329"/>
      <c r="K16" s="1329"/>
      <c r="L16" s="1329"/>
      <c r="M16" s="1142"/>
    </row>
    <row r="17" spans="1:29" ht="15" customHeight="1" x14ac:dyDescent="0.25">
      <c r="A17" s="1287"/>
      <c r="B17" s="1288"/>
      <c r="C17" s="1288"/>
      <c r="D17" s="1288"/>
      <c r="E17" s="1289"/>
      <c r="F17" s="233"/>
      <c r="G17" s="1140"/>
      <c r="H17" s="1329"/>
      <c r="I17" s="1329"/>
      <c r="J17" s="1329"/>
      <c r="K17" s="1329"/>
      <c r="L17" s="1329"/>
      <c r="M17" s="1142"/>
      <c r="AA17" s="56" t="s">
        <v>939</v>
      </c>
    </row>
    <row r="18" spans="1:29" ht="15" customHeight="1" x14ac:dyDescent="0.25">
      <c r="A18" s="1287"/>
      <c r="B18" s="1288"/>
      <c r="C18" s="1288"/>
      <c r="D18" s="1288"/>
      <c r="E18" s="1289"/>
      <c r="F18" s="233"/>
      <c r="G18" s="1140"/>
      <c r="H18" s="1329"/>
      <c r="I18" s="1329"/>
      <c r="J18" s="1329"/>
      <c r="K18" s="1329"/>
      <c r="L18" s="1329"/>
      <c r="M18" s="1142"/>
      <c r="AA18" s="508" t="s">
        <v>61</v>
      </c>
      <c r="AB18" s="509" t="s">
        <v>648</v>
      </c>
    </row>
    <row r="19" spans="1:29" ht="15" customHeight="1" x14ac:dyDescent="0.25">
      <c r="A19" s="1290"/>
      <c r="B19" s="1291"/>
      <c r="C19" s="1291"/>
      <c r="D19" s="1291"/>
      <c r="E19" s="1292"/>
      <c r="F19" s="233"/>
      <c r="G19" s="1143"/>
      <c r="H19" s="1144"/>
      <c r="I19" s="1144"/>
      <c r="J19" s="1144"/>
      <c r="K19" s="1144"/>
      <c r="L19" s="1144"/>
      <c r="M19" s="1145"/>
      <c r="AA19" s="462" t="s">
        <v>54</v>
      </c>
      <c r="AB19" s="509" t="s">
        <v>700</v>
      </c>
    </row>
    <row r="20" spans="1:29" ht="15" customHeight="1" x14ac:dyDescent="0.25">
      <c r="A20" s="233"/>
      <c r="B20" s="340"/>
      <c r="C20" s="233"/>
      <c r="D20" s="366"/>
      <c r="E20" s="233"/>
      <c r="F20" s="233"/>
      <c r="G20" s="233"/>
      <c r="H20" s="233"/>
      <c r="I20" s="233"/>
      <c r="J20" s="219"/>
      <c r="K20" s="367"/>
      <c r="L20" s="1291"/>
      <c r="M20" s="1292"/>
      <c r="AA20" s="461">
        <v>25</v>
      </c>
      <c r="AB20" s="510">
        <f>AC$4+AB9</f>
        <v>92.56993674266856</v>
      </c>
    </row>
    <row r="21" spans="1:29" s="1" customFormat="1" ht="60.75" customHeight="1" thickBot="1" x14ac:dyDescent="0.3">
      <c r="A21" s="119" t="s">
        <v>39</v>
      </c>
      <c r="B21" s="120" t="s">
        <v>40</v>
      </c>
      <c r="C21" s="120" t="s">
        <v>479</v>
      </c>
      <c r="D21" s="311" t="s">
        <v>272</v>
      </c>
      <c r="E21" s="311" t="s">
        <v>43</v>
      </c>
      <c r="F21" s="120" t="s">
        <v>273</v>
      </c>
      <c r="G21" s="1212" t="s">
        <v>416</v>
      </c>
      <c r="H21" s="1212"/>
      <c r="I21" s="120" t="s">
        <v>45</v>
      </c>
      <c r="J21" s="312" t="s">
        <v>271</v>
      </c>
      <c r="K21" s="120" t="s">
        <v>47</v>
      </c>
      <c r="L21" s="120" t="s">
        <v>270</v>
      </c>
      <c r="M21" s="317" t="s">
        <v>415</v>
      </c>
      <c r="P21"/>
      <c r="Q21"/>
      <c r="R21"/>
      <c r="S21"/>
      <c r="T21"/>
      <c r="U21"/>
      <c r="V21"/>
      <c r="AA21" s="461">
        <v>50</v>
      </c>
      <c r="AB21" s="510">
        <f t="shared" ref="AB21:AB25" si="4">AC$4+AB10</f>
        <v>96.564058591428505</v>
      </c>
      <c r="AC21"/>
    </row>
    <row r="22" spans="1:29" s="1" customFormat="1" ht="48.75" thickBot="1" x14ac:dyDescent="0.3">
      <c r="A22" s="1391" t="s">
        <v>76</v>
      </c>
      <c r="B22" s="102" t="s">
        <v>228</v>
      </c>
      <c r="C22" s="259" t="str">
        <f>VLOOKUP($B22,Activities!$A$10:$P$152,3,FALSE)</f>
        <v>Disconnection of Services to Area</v>
      </c>
      <c r="D22" s="239" t="s">
        <v>49</v>
      </c>
      <c r="E22" s="320"/>
      <c r="F22" s="246" t="str">
        <f>VLOOKUP($B22,Activities!$A$10:$P$152,4,FALSE)</f>
        <v>Item</v>
      </c>
      <c r="G22" s="1269"/>
      <c r="H22" s="1270"/>
      <c r="I22" s="273">
        <f>VLOOKUP($B22,Activities!$A$10:$S$152,16,FALSE)</f>
        <v>3678.6008957627482</v>
      </c>
      <c r="J22" s="269"/>
      <c r="K22" s="388">
        <f t="shared" ref="K22:K23" si="5">IF(D22="Y",IF(J22="",I22*E22,J22*E22),0)</f>
        <v>0</v>
      </c>
      <c r="L22" s="248" t="str">
        <f>IFERROR(IF(D22="Y",K22/$K$54,0%),"0.0%")</f>
        <v>0.0%</v>
      </c>
      <c r="M22" s="290" t="str">
        <f>VLOOKUP($B22,Activities!$A$10:$S$152,19,FALSE)</f>
        <v>This Activity includes disconnecting and terminating all services such as power, water and sewer.  It covers the disconnection costs for an area.  Within a mine site there may be a number of areas which need to have services disconnected.</v>
      </c>
      <c r="P22"/>
      <c r="Q22"/>
      <c r="R22"/>
      <c r="S22"/>
      <c r="T22"/>
      <c r="U22"/>
      <c r="V22"/>
      <c r="AA22" s="461">
        <v>100</v>
      </c>
      <c r="AB22" s="510">
        <f t="shared" si="4"/>
        <v>104.55230228894837</v>
      </c>
      <c r="AC22"/>
    </row>
    <row r="23" spans="1:29" s="1" customFormat="1" ht="48.75" thickBot="1" x14ac:dyDescent="0.3">
      <c r="A23" s="1392"/>
      <c r="B23" s="102" t="s">
        <v>227</v>
      </c>
      <c r="C23" s="259" t="str">
        <f>VLOOKUP($B23,Activities!$A$10:$P$152,3,FALSE)</f>
        <v>Clean Process Facility of all materials and waste and Decontaminate ready for Demolition</v>
      </c>
      <c r="D23" s="239" t="s">
        <v>49</v>
      </c>
      <c r="E23" s="320"/>
      <c r="F23" s="246" t="str">
        <f>VLOOKUP($B23,Activities!$A$10:$P$152,4,FALSE)</f>
        <v>Item</v>
      </c>
      <c r="G23" s="1269"/>
      <c r="H23" s="1270"/>
      <c r="I23" s="273">
        <f>VLOOKUP($B23,Activities!$A$10:$S$152,16,FALSE)</f>
        <v>30655.007464689566</v>
      </c>
      <c r="J23" s="269"/>
      <c r="K23" s="388">
        <f t="shared" si="5"/>
        <v>0</v>
      </c>
      <c r="L23" s="248" t="str">
        <f>IFERROR(IF(D23="Y",K23/$K$54,0%),"0.0%")</f>
        <v>0.0%</v>
      </c>
      <c r="M23" s="290" t="str">
        <f>VLOOKUP($B23,Activities!$A$10:$S$152,19,FALSE)</f>
        <v>This activity precedes any demolition and involves the cleaning out of the processing facility of all materials, waste and rubbish prior to demolition.  It includes the removal of contaminated material and the decontamination of the plant.  It is in effect made ready for demolition.</v>
      </c>
      <c r="P23"/>
      <c r="Q23"/>
      <c r="R23"/>
      <c r="S23"/>
      <c r="T23"/>
      <c r="U23"/>
      <c r="V23"/>
      <c r="AA23" s="461">
        <v>200</v>
      </c>
      <c r="AB23" s="510">
        <f t="shared" si="4"/>
        <v>120.52878968398809</v>
      </c>
    </row>
    <row r="24" spans="1:29" s="1" customFormat="1" ht="15.75" thickBot="1" x14ac:dyDescent="0.3">
      <c r="A24" s="21" t="s">
        <v>53</v>
      </c>
      <c r="B24" s="112" t="str">
        <f>A22</f>
        <v>Preliminaries</v>
      </c>
      <c r="C24" s="103"/>
      <c r="D24" s="24"/>
      <c r="E24" s="25"/>
      <c r="F24" s="24"/>
      <c r="G24" s="24"/>
      <c r="H24" s="24"/>
      <c r="I24" s="26"/>
      <c r="J24" s="27"/>
      <c r="K24" s="28">
        <f>SUM(K22:K23)</f>
        <v>0</v>
      </c>
      <c r="L24" s="24"/>
      <c r="M24" s="43"/>
      <c r="P24"/>
      <c r="Q24"/>
      <c r="R24"/>
      <c r="S24"/>
      <c r="T24"/>
      <c r="U24"/>
      <c r="V24"/>
      <c r="AA24" s="461">
        <v>300</v>
      </c>
      <c r="AB24" s="510">
        <f t="shared" si="4"/>
        <v>136.50527707902785</v>
      </c>
    </row>
    <row r="25" spans="1:29" ht="57.75" customHeight="1" thickBot="1" x14ac:dyDescent="0.3">
      <c r="A25" s="1132" t="s">
        <v>527</v>
      </c>
      <c r="B25" s="102" t="s">
        <v>252</v>
      </c>
      <c r="C25" s="259" t="str">
        <f>VLOOKUP($B25,Activities!$A$10:$P$152,3,FALSE)</f>
        <v>Demolition of Industrial and Other buildings and remove waste to designated dump on site.</v>
      </c>
      <c r="D25" s="239" t="s">
        <v>49</v>
      </c>
      <c r="E25" s="320"/>
      <c r="F25" s="246" t="str">
        <f>VLOOKUP($B25,Activities!$A$10:$P$152,4,FALSE)</f>
        <v>m2</v>
      </c>
      <c r="G25" s="1269"/>
      <c r="H25" s="1270"/>
      <c r="I25" s="272">
        <f>VLOOKUP($B25,Activities!$A$10:$S$152,16,FALSE)</f>
        <v>62.958526402902507</v>
      </c>
      <c r="J25" s="269"/>
      <c r="K25" s="388">
        <f t="shared" ref="K25:K33" si="6">IF(D25="Y",IF(J25="",I25*E25,J25*E25),0)</f>
        <v>0</v>
      </c>
      <c r="L25" s="248" t="str">
        <f t="shared" ref="L25:L30" si="7">IFERROR(IF(D25="Y",K25/$K$54,0%),"0.0%")</f>
        <v>0.0%</v>
      </c>
      <c r="M25" s="290" t="str">
        <f>VLOOKUP($B25,Activities!$A$10:$S$152,19,FALSE)</f>
        <v xml:space="preserve">This activity covers the demolition of industrial and other buildings (up to 5 levels) on the site that are not salvageable or removed from the site.  The buildings are demolished and transported to a designated dump on the mine site. </v>
      </c>
      <c r="P25" s="544" t="str">
        <f>B31</f>
        <v>A1110</v>
      </c>
      <c r="Q25" s="1393" t="s">
        <v>644</v>
      </c>
      <c r="R25" s="1394"/>
      <c r="S25" s="1394"/>
      <c r="T25" s="1394"/>
      <c r="U25" s="1394"/>
      <c r="V25" s="1395"/>
      <c r="AA25" s="461">
        <v>400</v>
      </c>
      <c r="AB25" s="510">
        <f t="shared" si="4"/>
        <v>152.48176447406757</v>
      </c>
      <c r="AC25" s="1"/>
    </row>
    <row r="26" spans="1:29" ht="75.75" customHeight="1" thickBot="1" x14ac:dyDescent="0.3">
      <c r="A26" s="1133"/>
      <c r="B26" s="104" t="s">
        <v>233</v>
      </c>
      <c r="C26" s="259" t="str">
        <f>VLOOKUP($B26,Activities!$A$10:$P$152,3,FALSE)</f>
        <v>Demolish and Removal of Pipework - Plastic (Borefields, tailing facilities, etc)</v>
      </c>
      <c r="D26" s="239" t="s">
        <v>49</v>
      </c>
      <c r="E26" s="320"/>
      <c r="F26" s="246" t="str">
        <f>VLOOKUP($B26,Activities!$A$10:$P$152,4,FALSE)</f>
        <v>m</v>
      </c>
      <c r="G26" s="1269"/>
      <c r="H26" s="1270"/>
      <c r="I26" s="272">
        <f>VLOOKUP($B26,Activities!$A$10:$S$152,16,FALSE)</f>
        <v>13.119651535666517</v>
      </c>
      <c r="J26" s="269"/>
      <c r="K26" s="388">
        <f t="shared" si="6"/>
        <v>0</v>
      </c>
      <c r="L26" s="248" t="str">
        <f t="shared" si="7"/>
        <v>0.0%</v>
      </c>
      <c r="M26" s="290" t="str">
        <f>VLOOKUP($B26,Activities!$A$10:$S$152,19,FALSE)</f>
        <v>The activity consists of removing all pipework within the area and disposing of this pipework in an approved dump on the site.  The pipework should be cut up or shredded.  The activity assumes that the pipe is &lt;200mm and is plastic in nature.  If the pipe is very large or steel a separate demolition price should be prepared.  It does not inlcude pipework within a process plant.</v>
      </c>
      <c r="P26" s="543" t="s">
        <v>649</v>
      </c>
      <c r="Q26" s="45"/>
      <c r="R26" s="45" t="s">
        <v>650</v>
      </c>
      <c r="S26" s="45"/>
      <c r="T26" s="45" t="s">
        <v>648</v>
      </c>
      <c r="U26" s="45"/>
      <c r="V26" s="50"/>
      <c r="AA26" s="233" t="s">
        <v>264</v>
      </c>
      <c r="AC26" s="1"/>
    </row>
    <row r="27" spans="1:29" ht="53.25" customHeight="1" thickBot="1" x14ac:dyDescent="0.3">
      <c r="A27" s="1133"/>
      <c r="B27" s="102" t="s">
        <v>232</v>
      </c>
      <c r="C27" s="259" t="str">
        <f>VLOOKUP($B27,Activities!$A$10:$P$152,3,FALSE)</f>
        <v>Demolish heavy duty concrete structures, crusher and other equipment footings</v>
      </c>
      <c r="D27" s="239" t="s">
        <v>49</v>
      </c>
      <c r="E27" s="320"/>
      <c r="F27" s="246" t="str">
        <f>VLOOKUP($B27,Activities!$A$10:$P$152,4,FALSE)</f>
        <v>m2</v>
      </c>
      <c r="G27" s="1269"/>
      <c r="H27" s="1270"/>
      <c r="I27" s="273">
        <f>VLOOKUP($B27,Activities!$A$10:$S$152,16,FALSE)</f>
        <v>325.92646713928127</v>
      </c>
      <c r="J27" s="269"/>
      <c r="K27" s="388">
        <f t="shared" si="6"/>
        <v>0</v>
      </c>
      <c r="L27" s="248" t="str">
        <f t="shared" si="7"/>
        <v>0.0%</v>
      </c>
      <c r="M27" s="290" t="str">
        <f>VLOOKUP($B27,Activities!$A$10:$S$152,19,FALSE)</f>
        <v xml:space="preserve">The activity include the demolition and removal of the the heavy duty concrete footings and bases used for the support of major items of plant and equipment primarily around the processing plant.  </v>
      </c>
      <c r="P27" s="71" t="s">
        <v>645</v>
      </c>
      <c r="Q27" s="358">
        <f>VLOOKUP(P$25,Activities!A10:Q152,16,FALSE)</f>
        <v>95.797446129289725</v>
      </c>
      <c r="R27" s="358">
        <v>1.83</v>
      </c>
      <c r="S27" s="358"/>
      <c r="T27" s="392">
        <f>Q27*R27</f>
        <v>175.30932641660021</v>
      </c>
      <c r="U27" s="45" t="str">
        <f>P27</f>
        <v>&lt;50m3</v>
      </c>
      <c r="V27" s="393">
        <f>T27</f>
        <v>175.30932641660021</v>
      </c>
    </row>
    <row r="28" spans="1:29" ht="53.25" customHeight="1" thickBot="1" x14ac:dyDescent="0.3">
      <c r="A28" s="1133"/>
      <c r="B28" s="104" t="s">
        <v>505</v>
      </c>
      <c r="C28" s="259" t="str">
        <f>VLOOKUP($B28,Activities!$A$10:$P$152,3,FALSE)</f>
        <v xml:space="preserve">Demolish concrete pads, normal shed floors, pathways and minor footings  </v>
      </c>
      <c r="D28" s="239" t="s">
        <v>49</v>
      </c>
      <c r="E28" s="320"/>
      <c r="F28" s="246" t="str">
        <f>VLOOKUP($B28,Activities!$A$10:$P$152,4,FALSE)</f>
        <v>m2</v>
      </c>
      <c r="G28" s="1269"/>
      <c r="H28" s="1270"/>
      <c r="I28" s="272">
        <f>VLOOKUP($B28,Activities!$A$10:$S$152,16,FALSE)</f>
        <v>51.851141199048399</v>
      </c>
      <c r="J28" s="269"/>
      <c r="K28" s="388">
        <f t="shared" si="6"/>
        <v>0</v>
      </c>
      <c r="L28" s="248" t="str">
        <f t="shared" si="7"/>
        <v>0.0%</v>
      </c>
      <c r="M28" s="290" t="str">
        <f>VLOOKUP($B28,Activities!$A$10:$S$152,19,FALSE)</f>
        <v>The activity include the demolition and removal of concrete floors in sheds, pathways, and minor footings.  (It does not cover major concrete equipment support bases)</v>
      </c>
      <c r="P28" s="71" t="s">
        <v>646</v>
      </c>
      <c r="Q28" s="358">
        <f>VLOOKUP(P$25,Activities!A11:Q153,16,FALSE)</f>
        <v>95.797446129289725</v>
      </c>
      <c r="R28" s="358">
        <v>1.47</v>
      </c>
      <c r="S28" s="358"/>
      <c r="T28" s="392">
        <f t="shared" ref="T28:T30" si="8">Q28*R28</f>
        <v>140.8222458100559</v>
      </c>
      <c r="U28" s="45" t="str">
        <f t="shared" ref="U28:U30" si="9">P28</f>
        <v>&gt;50m3 &lt;100m3</v>
      </c>
      <c r="V28" s="393">
        <f>T28</f>
        <v>140.8222458100559</v>
      </c>
    </row>
    <row r="29" spans="1:29" ht="48" thickBot="1" x14ac:dyDescent="0.3">
      <c r="A29" s="1133"/>
      <c r="B29" s="104" t="s">
        <v>234</v>
      </c>
      <c r="C29" s="259" t="str">
        <f>VLOOKUP($B29,Activities!$A$10:$P$152,3,FALSE)</f>
        <v>Demolition and removal of Bitumen, spray seal and crushed rock roadbase</v>
      </c>
      <c r="D29" s="239" t="s">
        <v>49</v>
      </c>
      <c r="E29" s="320"/>
      <c r="F29" s="246" t="str">
        <f>VLOOKUP($B29,Activities!$A$10:$P$152,4,FALSE)</f>
        <v>m2</v>
      </c>
      <c r="G29" s="1269"/>
      <c r="H29" s="1270"/>
      <c r="I29" s="272">
        <f>VLOOKUP($B29,Activities!$A$10:$S$152,16,FALSE)</f>
        <v>0.45606878582196886</v>
      </c>
      <c r="J29" s="269"/>
      <c r="K29" s="388">
        <f t="shared" si="6"/>
        <v>0</v>
      </c>
      <c r="L29" s="248" t="str">
        <f t="shared" si="7"/>
        <v>0.0%</v>
      </c>
      <c r="M29" s="290" t="str">
        <f>VLOOKUP($B29,Activities!$A$10:$S$152,19,FALSE)</f>
        <v>The activity involves the digging up and removal of bitumen, sprayseal and crushed roadbase to a designated dump on the mine site.</v>
      </c>
      <c r="P29" s="71" t="s">
        <v>653</v>
      </c>
      <c r="Q29" s="358">
        <f>VLOOKUP(P$25,Activities!A12:Q154,16,FALSE)</f>
        <v>95.797446129289725</v>
      </c>
      <c r="R29" s="358">
        <v>1.1000000000000001</v>
      </c>
      <c r="S29" s="358"/>
      <c r="T29" s="392">
        <f t="shared" si="8"/>
        <v>105.3771907422187</v>
      </c>
      <c r="U29" s="45" t="str">
        <f t="shared" si="9"/>
        <v>&gt;100m3 &lt;500m3</v>
      </c>
      <c r="V29" s="393">
        <f>T29</f>
        <v>105.3771907422187</v>
      </c>
    </row>
    <row r="30" spans="1:29" ht="79.5" thickBot="1" x14ac:dyDescent="0.3">
      <c r="A30" s="1133"/>
      <c r="B30" s="104" t="s">
        <v>242</v>
      </c>
      <c r="C30" s="259" t="str">
        <f>VLOOKUP($B30,Activities!$A$10:$P$152,3,FALSE)</f>
        <v xml:space="preserve">Excavation of contaminated materials (earthen materials contaminated by metals, hydrocarbons, putrescible waste management etc) </v>
      </c>
      <c r="D30" s="239" t="s">
        <v>49</v>
      </c>
      <c r="E30" s="320"/>
      <c r="F30" s="246" t="str">
        <f>VLOOKUP($B30,Activities!$A$10:$P$152,4,FALSE)</f>
        <v>m3</v>
      </c>
      <c r="G30" s="1269"/>
      <c r="H30" s="1270"/>
      <c r="I30" s="272">
        <f>VLOOKUP($B30,Activities!$A$10:$S$152,16,FALSE)</f>
        <v>3.7375919690128194</v>
      </c>
      <c r="J30" s="269"/>
      <c r="K30" s="388">
        <f t="shared" si="6"/>
        <v>0</v>
      </c>
      <c r="L30" s="248" t="str">
        <f t="shared" si="7"/>
        <v>0.0%</v>
      </c>
      <c r="M30" s="290" t="str">
        <f>VLOOKUP($B30,Activities!$A$10:$S$152,19,FALSE)</f>
        <v>This assumes material can be removed to an approved dump on the mine site.  If such material needs to be transported off site, a separate quotation should be obtained for this activity.</v>
      </c>
      <c r="P30" s="71" t="s">
        <v>647</v>
      </c>
      <c r="Q30" s="358">
        <f>VLOOKUP(P$25,Activities!A13:Q155,16,FALSE)</f>
        <v>95.797446129289725</v>
      </c>
      <c r="R30" s="358">
        <v>1</v>
      </c>
      <c r="S30" s="358"/>
      <c r="T30" s="392">
        <f t="shared" si="8"/>
        <v>95.797446129289725</v>
      </c>
      <c r="U30" s="45" t="str">
        <f t="shared" si="9"/>
        <v>&gt;500m3</v>
      </c>
      <c r="V30" s="393">
        <f>T30</f>
        <v>95.797446129289725</v>
      </c>
    </row>
    <row r="31" spans="1:29" ht="52.5" customHeight="1" thickBot="1" x14ac:dyDescent="0.3">
      <c r="A31" s="1133"/>
      <c r="B31" s="245" t="s">
        <v>720</v>
      </c>
      <c r="C31" s="259" t="str">
        <f>VLOOKUP($B31,Activities!$A$10:$P$152,3,FALSE)</f>
        <v>Onsite remediation of hydrocarbon contaminated soils manual land farming</v>
      </c>
      <c r="D31" s="239" t="s">
        <v>49</v>
      </c>
      <c r="E31" s="320"/>
      <c r="F31" s="246" t="str">
        <f>VLOOKUP($B31,Activities!$A$10:$P$152,4,FALSE)</f>
        <v>m3</v>
      </c>
      <c r="G31" s="313" t="s">
        <v>652</v>
      </c>
      <c r="H31" s="167" t="s">
        <v>651</v>
      </c>
      <c r="I31" s="272">
        <f>VLOOKUP(H31,U27:V31,2)</f>
        <v>0</v>
      </c>
      <c r="J31" s="269"/>
      <c r="K31" s="388">
        <f t="shared" si="6"/>
        <v>0</v>
      </c>
      <c r="L31" s="248" t="str">
        <f>IFERROR(IF(D31="Y",K31/$K$64,0%),"0.0%")</f>
        <v>0.0%</v>
      </c>
      <c r="M31" s="290" t="str">
        <f>VLOOKUP($B31,Activities!$A$10:$S$152,19,FALSE)</f>
        <v>Spreading of contaminated soils on a prepared surface and stimulation of aerobic microbial activity within the soils through aeration and/or the addition of minerals, nutrients and moisture to promote the aerobic degradation of organic chemicals - time frame of up to 24 months.</v>
      </c>
      <c r="P31" s="399"/>
      <c r="Q31" s="400"/>
      <c r="R31" s="400"/>
      <c r="S31" s="400"/>
      <c r="T31" s="400"/>
      <c r="U31" s="400" t="s">
        <v>651</v>
      </c>
      <c r="V31" s="401"/>
    </row>
    <row r="32" spans="1:29" ht="52.5" customHeight="1" thickBot="1" x14ac:dyDescent="0.3">
      <c r="A32" s="1133"/>
      <c r="B32" s="104" t="s">
        <v>727</v>
      </c>
      <c r="C32" s="259" t="str">
        <f>VLOOKUP($B32,Activities!$A$10:$P$152,3,FALSE)</f>
        <v>Load, cart and dispose of High Level contaminated material off site to licenced landfill</v>
      </c>
      <c r="D32" s="239" t="s">
        <v>49</v>
      </c>
      <c r="E32" s="320"/>
      <c r="F32" s="246" t="str">
        <f>VLOOKUP($B32,Activities!$A$10:$P$152,4,FALSE)</f>
        <v>m3</v>
      </c>
      <c r="G32" s="313" t="s">
        <v>51</v>
      </c>
      <c r="H32" s="167" t="s">
        <v>264</v>
      </c>
      <c r="I32" s="272">
        <f>VLOOKUP(H32,AL9:AM15,2)</f>
        <v>0</v>
      </c>
      <c r="J32" s="269"/>
      <c r="K32" s="388">
        <f t="shared" si="6"/>
        <v>0</v>
      </c>
      <c r="L32" s="248" t="str">
        <f>IFERROR(IF(D32="Y",K32/$K$54,0%),"0.0%")</f>
        <v>0.0%</v>
      </c>
      <c r="M32" s="290" t="str">
        <f>VLOOKUP($B32,Activities!$A$10:$S$152,19,FALSE)</f>
        <v>Load, cart and dispose of High Level contaminated material off site to licenced landfill. Assumes loading of semi trailer on site, cartage to a licenced landfill and payment of dump costs.</v>
      </c>
    </row>
    <row r="33" spans="1:26" ht="48" thickBot="1" x14ac:dyDescent="0.3">
      <c r="A33" s="1133"/>
      <c r="B33" s="104" t="s">
        <v>729</v>
      </c>
      <c r="C33" s="259" t="str">
        <f>VLOOKUP($B33,Activities!$A$10:$P$152,3,FALSE)</f>
        <v>Load, cart and dispose of Low Level contaminated material off site to licenced landfill</v>
      </c>
      <c r="D33" s="239" t="s">
        <v>49</v>
      </c>
      <c r="E33" s="320"/>
      <c r="F33" s="246" t="str">
        <f>VLOOKUP($B33,Activities!$A$10:$P$152,4,FALSE)</f>
        <v>m3</v>
      </c>
      <c r="G33" s="313" t="s">
        <v>51</v>
      </c>
      <c r="H33" s="167" t="s">
        <v>264</v>
      </c>
      <c r="I33" s="272">
        <f>VLOOKUP(H33,AS9:AT15,2)</f>
        <v>0</v>
      </c>
      <c r="J33" s="269"/>
      <c r="K33" s="388">
        <f t="shared" si="6"/>
        <v>0</v>
      </c>
      <c r="L33" s="248" t="str">
        <f>IFERROR(IF(D33="Y",K33/$K$54,0%),"0.0%")</f>
        <v>0.0%</v>
      </c>
      <c r="M33" s="290" t="str">
        <f>VLOOKUP($B33,Activities!$A$10:$S$152,19,FALSE)</f>
        <v>Load, cart and dispose of Low Level contaminated material off site to licenced landfill. Assumes loading of semi trailer on site, cartage to a licenced landfill and payment of dump costs.</v>
      </c>
    </row>
    <row r="34" spans="1:26" ht="52.5" customHeight="1" thickBot="1" x14ac:dyDescent="0.3">
      <c r="A34" s="1133"/>
      <c r="B34" s="245" t="s">
        <v>395</v>
      </c>
      <c r="C34" s="259" t="str">
        <f>VLOOKUP($B34,Activities!$A$10:$P$152,3,FALSE)</f>
        <v>Load and Remove Rubbish and/or waste from the site to an external dump</v>
      </c>
      <c r="D34" s="239" t="s">
        <v>49</v>
      </c>
      <c r="E34" s="320"/>
      <c r="F34" s="246" t="str">
        <f>VLOOKUP($B34,Activities!$A$10:$P$152,4,FALSE)</f>
        <v>m3</v>
      </c>
      <c r="G34" s="313" t="s">
        <v>940</v>
      </c>
      <c r="H34" s="167" t="s">
        <v>264</v>
      </c>
      <c r="I34" s="272">
        <f>VLOOKUP(H34,AA20:AB26,2)</f>
        <v>0</v>
      </c>
      <c r="J34" s="269"/>
      <c r="K34" s="388">
        <f t="shared" ref="K34" si="10">IF(D34="Y",IF(J34="",I34*E34,J34*E34),"")</f>
        <v>0</v>
      </c>
      <c r="L34" s="248" t="str">
        <f>IFERROR(IF(D34="Y",K34/$K$64,0%),"0.0%")</f>
        <v>0.0%</v>
      </c>
      <c r="M34" s="290" t="str">
        <f>VLOOKUP($B34,Activities!$A$10:$S$152,19,FALSE)</f>
        <v>This activity covers the situation when waste and rubbish needs to be fully collected and removed from the site and it is not possible to dispose of it on site.</v>
      </c>
    </row>
    <row r="35" spans="1:26" ht="48" thickBot="1" x14ac:dyDescent="0.3">
      <c r="A35" s="1134"/>
      <c r="B35" s="480"/>
      <c r="C35" s="271" t="s">
        <v>353</v>
      </c>
      <c r="D35" s="239" t="s">
        <v>49</v>
      </c>
      <c r="E35" s="346"/>
      <c r="F35" s="296"/>
      <c r="G35" s="1269"/>
      <c r="H35" s="1270"/>
      <c r="I35" s="355" t="s">
        <v>475</v>
      </c>
      <c r="J35" s="269"/>
      <c r="K35" s="387">
        <f>IF(D35="Y",J35*E35,"")</f>
        <v>0</v>
      </c>
      <c r="L35" s="248" t="str">
        <f>IFERROR(IF(D35="Y",K35/$K$63,0%),"0.0%")</f>
        <v>0.0%</v>
      </c>
      <c r="M35" s="139" t="s">
        <v>68</v>
      </c>
    </row>
    <row r="36" spans="1:26" ht="15.75" thickBot="1" x14ac:dyDescent="0.3">
      <c r="A36" s="21" t="s">
        <v>53</v>
      </c>
      <c r="B36" s="112" t="str">
        <f>A25</f>
        <v xml:space="preserve">Demolition of Workshops and other ancillary Industrial Buildings </v>
      </c>
      <c r="C36" s="103"/>
      <c r="D36" s="24"/>
      <c r="E36" s="25"/>
      <c r="F36" s="24"/>
      <c r="G36" s="24"/>
      <c r="H36" s="24"/>
      <c r="I36" s="26"/>
      <c r="J36" s="27"/>
      <c r="K36" s="28">
        <f>SUM(K25:K35)</f>
        <v>0</v>
      </c>
      <c r="L36" s="24"/>
      <c r="M36" s="43"/>
    </row>
    <row r="37" spans="1:26" ht="51.75" customHeight="1" thickBot="1" x14ac:dyDescent="0.3">
      <c r="A37" s="1384" t="s">
        <v>528</v>
      </c>
      <c r="B37" s="86" t="s">
        <v>79</v>
      </c>
      <c r="C37" s="110" t="str">
        <f>VLOOKUP($B37,Activities!$A$10:$P$152,3,FALSE)</f>
        <v>Minor Shaping across a Dump or Disturbed Area</v>
      </c>
      <c r="D37" s="239" t="s">
        <v>49</v>
      </c>
      <c r="E37" s="346"/>
      <c r="F37" s="19" t="str">
        <f>VLOOKUP($B37,Activities!$A$10:$P$152,4,FALSE)</f>
        <v>Ha</v>
      </c>
      <c r="G37" s="1387"/>
      <c r="H37" s="1388"/>
      <c r="I37" s="350">
        <f>VLOOKUP($B37,Activities!$A$10:$S$152,16,FALSE)</f>
        <v>2987.2221197728068</v>
      </c>
      <c r="J37" s="269"/>
      <c r="K37" s="387">
        <f t="shared" ref="K37:K39" si="11">IF(D37="Y",IF(J37="",I37*E37,J37*E37),0)</f>
        <v>0</v>
      </c>
      <c r="L37" s="248" t="str">
        <f>IFERROR(IF(D37="Y",K37/$K$54,0%),"0.0%")</f>
        <v>0.0%</v>
      </c>
      <c r="M37" s="292" t="str">
        <f>VLOOKUP($B37,Activities!$A$10:$S$152,19,FALSE)</f>
        <v xml:space="preserve">This activity covers minor shaping shifting pushing across a dump or disturbed area.  It is based on a rate per hectare.  It covers area where there needs to be some clearing work, tidying up of disturbed ground,  but not just bulk pushing </v>
      </c>
    </row>
    <row r="38" spans="1:26" ht="39" customHeight="1" thickBot="1" x14ac:dyDescent="0.3">
      <c r="A38" s="1385"/>
      <c r="B38" s="245" t="s">
        <v>398</v>
      </c>
      <c r="C38" s="275" t="str">
        <f>VLOOKUP($B38,Activities!$A$10:$P$152,3,FALSE)</f>
        <v>Deep Ripping of Hardstand area for Rehabilitation</v>
      </c>
      <c r="D38" s="239" t="s">
        <v>49</v>
      </c>
      <c r="E38" s="607"/>
      <c r="F38" s="246" t="str">
        <f>VLOOKUP($B38,Activities!$A$10:$P$152,4,FALSE)</f>
        <v>Ha</v>
      </c>
      <c r="G38" s="1160"/>
      <c r="H38" s="1161"/>
      <c r="I38" s="272">
        <f>VLOOKUP($B38,Activities!$A$10:$S$152,16,FALSE)</f>
        <v>829.40192654187592</v>
      </c>
      <c r="J38" s="269"/>
      <c r="K38" s="390">
        <f t="shared" si="11"/>
        <v>0</v>
      </c>
      <c r="L38" s="248" t="str">
        <f>IFERROR(IF(D38="Y",K38/$K$54,0%),"0.0%")</f>
        <v>0.0%</v>
      </c>
      <c r="M38" s="292" t="str">
        <f>VLOOKUP($B38,Activities!$A$10:$S$152,19,FALSE)</f>
        <v>This activity covers the situation where a hard stand area needs to be deep ripped by a dozer or appropriate machine.  It may be required to key in materials or situations where the ground is heavily compacted.</v>
      </c>
    </row>
    <row r="39" spans="1:26" ht="81.75" customHeight="1" thickBot="1" x14ac:dyDescent="0.3">
      <c r="A39" s="1385"/>
      <c r="B39" s="245" t="s">
        <v>251</v>
      </c>
      <c r="C39" s="275" t="str">
        <f>VLOOKUP($B39,Activities!$A$10:$P$152,3,FALSE)</f>
        <v>Scarification and ripping of Haul and Access Roads</v>
      </c>
      <c r="D39" s="239" t="s">
        <v>49</v>
      </c>
      <c r="E39" s="607"/>
      <c r="F39" s="246" t="str">
        <f>VLOOKUP($B39,Activities!$A$10:$P$152,4,FALSE)</f>
        <v>km</v>
      </c>
      <c r="G39" s="1160"/>
      <c r="H39" s="1161"/>
      <c r="I39" s="272">
        <f>VLOOKUP($B39,Activities!$A$10:$S$152,16,FALSE)</f>
        <v>817.62150792547607</v>
      </c>
      <c r="J39" s="269"/>
      <c r="K39" s="390">
        <f t="shared" si="11"/>
        <v>0</v>
      </c>
      <c r="L39" s="248" t="str">
        <f>IFERROR(IF(D39="Y",K39/$K$54,0%),"0.0%")</f>
        <v>0.0%</v>
      </c>
      <c r="M39" s="292" t="str">
        <f>VLOOKUP($B39,Activities!$A$10:$S$152,19,FALSE)</f>
        <v>This activity is specifically minor shaping and for the scarification and where necessary the deep ripping of Haul and Access roads to allow natural re-vegetation to occurr.   It is appropriate for access roads and tracks of a width of 5 metres and of minimal construction.  (Access to drill locations and minor areas) ( For major constructed haul roads  20m in width use A1039)</v>
      </c>
    </row>
    <row r="40" spans="1:26" ht="48" thickBot="1" x14ac:dyDescent="0.3">
      <c r="A40" s="1386"/>
      <c r="B40" s="479"/>
      <c r="C40" s="271" t="s">
        <v>300</v>
      </c>
      <c r="D40" s="239" t="s">
        <v>49</v>
      </c>
      <c r="E40" s="607"/>
      <c r="F40" s="296"/>
      <c r="G40" s="1160"/>
      <c r="H40" s="1161"/>
      <c r="I40" s="355" t="s">
        <v>475</v>
      </c>
      <c r="J40" s="269"/>
      <c r="K40" s="387">
        <f>IF(D40="Y",J40*E40,"")</f>
        <v>0</v>
      </c>
      <c r="L40" s="248" t="str">
        <f>IFERROR(IF(D40="Y",K40/$K$66,0%),"0.0%")</f>
        <v>0.0%</v>
      </c>
      <c r="M40" s="139" t="s">
        <v>56</v>
      </c>
    </row>
    <row r="41" spans="1:26" ht="15.75" thickBot="1" x14ac:dyDescent="0.3">
      <c r="A41" s="21" t="s">
        <v>53</v>
      </c>
      <c r="B41" s="112" t="str">
        <f>A37</f>
        <v>Earthworks across the Ancillary Areas</v>
      </c>
      <c r="C41" s="103"/>
      <c r="D41" s="24"/>
      <c r="E41" s="25"/>
      <c r="F41" s="24"/>
      <c r="G41" s="24"/>
      <c r="H41" s="24"/>
      <c r="I41" s="26"/>
      <c r="J41" s="27"/>
      <c r="K41" s="28">
        <f>SUM(K37:K40)</f>
        <v>0</v>
      </c>
      <c r="L41" s="24"/>
      <c r="M41" s="43"/>
    </row>
    <row r="42" spans="1:26" ht="42.75" thickBot="1" x14ac:dyDescent="0.3">
      <c r="A42" s="1381" t="s">
        <v>261</v>
      </c>
      <c r="B42" s="102" t="s">
        <v>17</v>
      </c>
      <c r="C42" s="259" t="str">
        <f>VLOOKUP($B42,Activities!$A$10:$P$152,3,FALSE)</f>
        <v xml:space="preserve">Excavation of earthen materials from local borrow pits, plus haulage </v>
      </c>
      <c r="D42" s="239" t="s">
        <v>49</v>
      </c>
      <c r="E42" s="240"/>
      <c r="F42" s="246" t="str">
        <f>VLOOKUP($B42,Activities!$A$10:$P$152,4,FALSE)</f>
        <v>m3</v>
      </c>
      <c r="G42" s="313" t="s">
        <v>51</v>
      </c>
      <c r="H42" s="167" t="s">
        <v>264</v>
      </c>
      <c r="I42" s="350">
        <f>VLOOKUP(H42,U3:V7,2)</f>
        <v>0</v>
      </c>
      <c r="J42" s="269"/>
      <c r="K42" s="387">
        <f>IF(D42="Y",IF(J42="",I42*E42,J42*E42),"")</f>
        <v>0</v>
      </c>
      <c r="L42" s="248" t="str">
        <f>IFERROR(IF(D42="Y",K42/$K$63,0%),"0.0%")</f>
        <v>0.0%</v>
      </c>
      <c r="M42" s="290" t="str">
        <f>VLOOKUP($B42,Activities!$A$10:$S$152,19,FALSE)</f>
        <v>This activity involves the excavation of earthern material from a local borrow pit and the loading of that material into a truck.  Haulage cost based on distance hauled.</v>
      </c>
      <c r="P42" s="15"/>
      <c r="Q42" s="15"/>
      <c r="R42" s="15"/>
      <c r="S42" s="15"/>
      <c r="T42" s="15"/>
      <c r="U42" s="15"/>
      <c r="V42" s="15"/>
    </row>
    <row r="43" spans="1:26" ht="55.5" customHeight="1" thickBot="1" x14ac:dyDescent="0.3">
      <c r="A43" s="1382"/>
      <c r="B43" s="102" t="s">
        <v>70</v>
      </c>
      <c r="C43" s="259" t="str">
        <f>VLOOKUP($B43,Activities!$A$10:$P$152,3,FALSE)</f>
        <v>Sourcing, Carting and Spreading of Topsoil over an Area</v>
      </c>
      <c r="D43" s="239" t="s">
        <v>49</v>
      </c>
      <c r="E43" s="240"/>
      <c r="F43" s="246" t="str">
        <f>VLOOKUP($B43,Activities!$A$10:$P$152,4,FALSE)</f>
        <v>m3</v>
      </c>
      <c r="G43" s="313" t="s">
        <v>51</v>
      </c>
      <c r="H43" s="167" t="s">
        <v>264</v>
      </c>
      <c r="I43" s="350">
        <f>VLOOKUP(H43,U11:V15,2)</f>
        <v>0</v>
      </c>
      <c r="J43" s="269"/>
      <c r="K43" s="387">
        <f>IF(D43="Y",IF(J43="",I43*E43,J43*E43),"")</f>
        <v>0</v>
      </c>
      <c r="L43" s="248" t="str">
        <f>IFERROR(IF(D43="Y",K43/$K$63,0%),"0.0%")</f>
        <v>0.0%</v>
      </c>
      <c r="M43" s="290" t="str">
        <f>VLOOKUP($B43,Activities!$A$10:$S$152,19,FALSE)</f>
        <v>This activity covers the sourcing of topsoil or suitable growth medium, transporting from the source to the required area and then spreading it over that area.</v>
      </c>
      <c r="P43" s="15"/>
      <c r="Q43" s="15"/>
      <c r="R43" s="15"/>
      <c r="S43" s="15"/>
      <c r="T43" s="15"/>
      <c r="U43" s="15"/>
      <c r="V43" s="15"/>
    </row>
    <row r="44" spans="1:26" ht="59.25" customHeight="1" thickBot="1" x14ac:dyDescent="0.3">
      <c r="A44" s="1382"/>
      <c r="B44" s="86" t="s">
        <v>18</v>
      </c>
      <c r="C44" s="259" t="str">
        <f>VLOOKUP($B44,Activities!$A$10:$P$152,3,FALSE)</f>
        <v>Spreading Materials on ground or an open area excluding compaction (&gt;1,000m3)</v>
      </c>
      <c r="D44" s="239" t="s">
        <v>49</v>
      </c>
      <c r="E44" s="240"/>
      <c r="F44" s="246" t="str">
        <f>VLOOKUP($B44,Activities!$A$10:$P$152,4,FALSE)</f>
        <v>m3</v>
      </c>
      <c r="G44" s="1269"/>
      <c r="H44" s="1270"/>
      <c r="I44" s="272">
        <f>VLOOKUP($B44,Activities!$A$10:$S$152,16,FALSE)</f>
        <v>1.0890037105820705</v>
      </c>
      <c r="J44" s="269"/>
      <c r="K44" s="388">
        <f t="shared" ref="K44:K45" si="12">IF(D44="Y",IF(J44="",I44*E44,J44*E44),0)</f>
        <v>0</v>
      </c>
      <c r="L44" s="248" t="str">
        <f t="shared" ref="L44:L55" si="13">IFERROR(IF(D44="Y",K44/$K$54,0%),"0.0%")</f>
        <v>0.0%</v>
      </c>
      <c r="M44" s="290" t="str">
        <f>VLOOKUP($B44,Activities!$A$10:$S$152,19,FALSE)</f>
        <v xml:space="preserve">This activity involves the spreading of material that has been transported and dumped at the work area. </v>
      </c>
      <c r="P44" s="15"/>
      <c r="Q44" s="15"/>
      <c r="R44" s="15"/>
      <c r="S44" s="15"/>
      <c r="T44" s="15"/>
      <c r="U44" s="15"/>
      <c r="V44" s="15"/>
      <c r="Z44" s="116"/>
    </row>
    <row r="45" spans="1:26" ht="57.75" customHeight="1" thickBot="1" x14ac:dyDescent="0.3">
      <c r="A45" s="1382"/>
      <c r="B45" s="245" t="s">
        <v>21</v>
      </c>
      <c r="C45" s="259" t="str">
        <f>VLOOKUP($B45,Activities!$A$10:$P$152,3,FALSE)</f>
        <v>Scarification to promote vegetation growth</v>
      </c>
      <c r="D45" s="239" t="s">
        <v>49</v>
      </c>
      <c r="E45" s="240"/>
      <c r="F45" s="246" t="str">
        <f>VLOOKUP($B45,Activities!$A$10:$P$152,4,FALSE)</f>
        <v>Ha</v>
      </c>
      <c r="G45" s="1269"/>
      <c r="H45" s="1270"/>
      <c r="I45" s="273">
        <f>VLOOKUP($B45,Activities!$A$10:$S$152,16,FALSE)</f>
        <v>323.54530924221694</v>
      </c>
      <c r="J45" s="269"/>
      <c r="K45" s="388">
        <f t="shared" si="12"/>
        <v>0</v>
      </c>
      <c r="L45" s="248" t="str">
        <f t="shared" si="13"/>
        <v>0.0%</v>
      </c>
      <c r="M45" s="290" t="str">
        <f>VLOOKUP($B45,Activities!$A$10:$S$152,19,FALSE)</f>
        <v xml:space="preserve">This activity is undertaken in preparation for the seeding of a particular area.  </v>
      </c>
      <c r="P45" s="15"/>
      <c r="Q45" s="15"/>
      <c r="R45" s="15"/>
      <c r="S45" s="15"/>
      <c r="T45" s="15"/>
      <c r="U45" s="15"/>
      <c r="V45" s="15"/>
      <c r="Z45" s="116"/>
    </row>
    <row r="46" spans="1:26" ht="49.5" customHeight="1" thickBot="1" x14ac:dyDescent="0.3">
      <c r="A46" s="1382"/>
      <c r="B46" s="245" t="s">
        <v>626</v>
      </c>
      <c r="C46" s="259" t="str">
        <f>VLOOKUP($B46,Activities!$A$10:$P$152,3,FALSE)</f>
        <v>Purchase and single application of ground ameliorants (e.g. gypsum)</v>
      </c>
      <c r="D46" s="239" t="s">
        <v>49</v>
      </c>
      <c r="E46" s="320"/>
      <c r="F46" s="246" t="str">
        <f>VLOOKUP($B46,Activities!$A$10:$P$152,4,FALSE)</f>
        <v>Ha</v>
      </c>
      <c r="G46" s="1269"/>
      <c r="H46" s="1270"/>
      <c r="I46" s="273">
        <f>VLOOKUP($B46,Activities!$A$10:$S$152,16,FALSE)</f>
        <v>877.38983538153695</v>
      </c>
      <c r="J46" s="269"/>
      <c r="K46" s="388">
        <f t="shared" ref="K46:K54" si="14">IF(D46="Y",IF(J46="",I46*E46,J46*E46),0)</f>
        <v>0</v>
      </c>
      <c r="L46" s="248" t="str">
        <f t="shared" si="13"/>
        <v>0.0%</v>
      </c>
      <c r="M46" s="290" t="str">
        <f>VLOOKUP($B46,Activities!$A$10:$S$152,19,FALSE)</f>
        <v>This Activity includes the purchase and single application of ground ameliorants (e.g. gypsum).</v>
      </c>
      <c r="P46" s="15"/>
      <c r="Q46" s="15"/>
      <c r="R46" s="15"/>
      <c r="S46" s="15"/>
      <c r="T46" s="15"/>
      <c r="U46" s="15"/>
      <c r="V46" s="15"/>
      <c r="Z46" s="476"/>
    </row>
    <row r="47" spans="1:26" ht="49.5" customHeight="1" thickBot="1" x14ac:dyDescent="0.3">
      <c r="A47" s="1382"/>
      <c r="B47" s="245" t="s">
        <v>627</v>
      </c>
      <c r="C47" s="259" t="str">
        <f>VLOOKUP($B47,Activities!$A$10:$P$152,3,FALSE)</f>
        <v>The purchase only of non-native pasture grasses</v>
      </c>
      <c r="D47" s="239" t="s">
        <v>49</v>
      </c>
      <c r="E47" s="320"/>
      <c r="F47" s="246" t="str">
        <f>VLOOKUP($B47,Activities!$A$10:$P$152,4,FALSE)</f>
        <v>Ha</v>
      </c>
      <c r="G47" s="1269"/>
      <c r="H47" s="1270"/>
      <c r="I47" s="273">
        <f>VLOOKUP($B47,Activities!$A$10:$S$152,16,FALSE)</f>
        <v>1774.5180283018869</v>
      </c>
      <c r="J47" s="269"/>
      <c r="K47" s="388">
        <f t="shared" si="14"/>
        <v>0</v>
      </c>
      <c r="L47" s="248" t="str">
        <f t="shared" si="13"/>
        <v>0.0%</v>
      </c>
      <c r="M47" s="290" t="str">
        <f>VLOOKUP($B47,Activities!$A$10:$S$152,19,FALSE)</f>
        <v>This activity covers the purchase of non-native pasture grasses</v>
      </c>
      <c r="P47" s="15"/>
      <c r="Q47" s="15"/>
      <c r="R47" s="15"/>
      <c r="S47" s="15"/>
      <c r="T47" s="15"/>
      <c r="U47" s="15"/>
      <c r="V47" s="15"/>
      <c r="Z47" s="476"/>
    </row>
    <row r="48" spans="1:26" ht="49.5" customHeight="1" thickBot="1" x14ac:dyDescent="0.3">
      <c r="A48" s="1382"/>
      <c r="B48" s="245" t="s">
        <v>628</v>
      </c>
      <c r="C48" s="259" t="str">
        <f>VLOOKUP($B48,Activities!$A$10:$P$152,3,FALSE)</f>
        <v>The purchase only of general native seed mix</v>
      </c>
      <c r="D48" s="239" t="s">
        <v>49</v>
      </c>
      <c r="E48" s="320"/>
      <c r="F48" s="246" t="str">
        <f>VLOOKUP($B48,Activities!$A$10:$P$152,4,FALSE)</f>
        <v>Ha</v>
      </c>
      <c r="G48" s="1269"/>
      <c r="H48" s="1270"/>
      <c r="I48" s="273">
        <f>VLOOKUP($B48,Activities!$A$10:$S$152,16,FALSE)</f>
        <v>3439.8717452830197</v>
      </c>
      <c r="J48" s="269"/>
      <c r="K48" s="388">
        <f t="shared" si="14"/>
        <v>0</v>
      </c>
      <c r="L48" s="248" t="str">
        <f t="shared" si="13"/>
        <v>0.0%</v>
      </c>
      <c r="M48" s="290" t="str">
        <f>VLOOKUP($B48,Activities!$A$10:$S$152,19,FALSE)</f>
        <v>This activity covers the purchase of general native seed mix</v>
      </c>
      <c r="P48" s="15"/>
      <c r="Q48" s="15"/>
      <c r="R48" s="15"/>
      <c r="S48" s="15"/>
      <c r="T48" s="15"/>
      <c r="U48" s="15"/>
      <c r="V48" s="15"/>
      <c r="Z48" s="476"/>
    </row>
    <row r="49" spans="1:26" ht="49.5" customHeight="1" thickBot="1" x14ac:dyDescent="0.3">
      <c r="A49" s="1382"/>
      <c r="B49" s="245" t="s">
        <v>629</v>
      </c>
      <c r="C49" s="259" t="str">
        <f>VLOOKUP($B49,Activities!$A$10:$P$152,3,FALSE)</f>
        <v>The purchase only of local provenance native seed mix</v>
      </c>
      <c r="D49" s="239" t="s">
        <v>49</v>
      </c>
      <c r="E49" s="320"/>
      <c r="F49" s="246" t="str">
        <f>VLOOKUP($B49,Activities!$A$10:$P$152,4,FALSE)</f>
        <v>Ha</v>
      </c>
      <c r="G49" s="1269"/>
      <c r="H49" s="1270"/>
      <c r="I49" s="273">
        <f>VLOOKUP($B49,Activities!$A$10:$S$152,16,FALSE)</f>
        <v>10525.680933962265</v>
      </c>
      <c r="J49" s="269"/>
      <c r="K49" s="388">
        <f t="shared" si="14"/>
        <v>0</v>
      </c>
      <c r="L49" s="248" t="str">
        <f t="shared" si="13"/>
        <v>0.0%</v>
      </c>
      <c r="M49" s="290" t="str">
        <f>VLOOKUP($B49,Activities!$A$10:$S$152,19,FALSE)</f>
        <v>This activity covers the purchase of local provenance native seed mix</v>
      </c>
      <c r="P49" s="15"/>
      <c r="Q49" s="540"/>
      <c r="R49" s="541"/>
      <c r="S49" s="542"/>
      <c r="T49" s="540"/>
      <c r="U49" s="15"/>
      <c r="V49" s="540"/>
      <c r="Z49" s="476"/>
    </row>
    <row r="50" spans="1:26" ht="49.5" customHeight="1" thickBot="1" x14ac:dyDescent="0.3">
      <c r="A50" s="1382"/>
      <c r="B50" s="245" t="s">
        <v>630</v>
      </c>
      <c r="C50" s="259" t="str">
        <f>VLOOKUP($B50,Activities!$A$10:$P$152,3,FALSE)</f>
        <v>The purchase only of fertiliser for broadcast application</v>
      </c>
      <c r="D50" s="239" t="s">
        <v>49</v>
      </c>
      <c r="E50" s="320"/>
      <c r="F50" s="246" t="str">
        <f>VLOOKUP($B50,Activities!$A$10:$P$152,4,FALSE)</f>
        <v>Ha</v>
      </c>
      <c r="G50" s="1269"/>
      <c r="H50" s="1270"/>
      <c r="I50" s="273">
        <f>VLOOKUP($B50,Activities!$A$10:$S$152,16,FALSE)</f>
        <v>613.30500000000006</v>
      </c>
      <c r="J50" s="269"/>
      <c r="K50" s="388">
        <f t="shared" si="14"/>
        <v>0</v>
      </c>
      <c r="L50" s="248" t="str">
        <f t="shared" si="13"/>
        <v>0.0%</v>
      </c>
      <c r="M50" s="290" t="str">
        <f>VLOOKUP($B50,Activities!$A$10:$S$152,19,FALSE)</f>
        <v>This activity covers the purchase of local fertiliser for broadcast application.  It does not inlcude the application.</v>
      </c>
      <c r="P50" s="15"/>
      <c r="Q50" s="540"/>
      <c r="R50" s="541"/>
      <c r="S50" s="542"/>
      <c r="T50" s="540"/>
      <c r="U50" s="15"/>
      <c r="V50" s="540"/>
      <c r="Z50" s="476"/>
    </row>
    <row r="51" spans="1:26" ht="49.5" customHeight="1" thickBot="1" x14ac:dyDescent="0.3">
      <c r="A51" s="1382"/>
      <c r="B51" s="245" t="s">
        <v>631</v>
      </c>
      <c r="C51" s="259" t="str">
        <f>VLOOKUP($B51,Activities!$A$10:$P$152,3,FALSE)</f>
        <v>The purchase of native tubestock (including slow release fertiliser)</v>
      </c>
      <c r="D51" s="239" t="s">
        <v>49</v>
      </c>
      <c r="E51" s="320"/>
      <c r="F51" s="246" t="str">
        <f>VLOOKUP($B51,Activities!$A$10:$P$152,4,FALSE)</f>
        <v>Ha</v>
      </c>
      <c r="G51" s="1269"/>
      <c r="H51" s="1270"/>
      <c r="I51" s="273">
        <f>VLOOKUP($B51,Activities!$A$10:$S$152,16,FALSE)</f>
        <v>19729.952830188682</v>
      </c>
      <c r="J51" s="269"/>
      <c r="K51" s="388">
        <f t="shared" si="14"/>
        <v>0</v>
      </c>
      <c r="L51" s="248" t="str">
        <f t="shared" si="13"/>
        <v>0.0%</v>
      </c>
      <c r="M51" s="290" t="str">
        <f>VLOOKUP($B51,Activities!$A$10:$S$152,19,FALSE)</f>
        <v>The Activity includes the purchase of native tubestock (including slow release fertiliser).  It does not include planting.</v>
      </c>
      <c r="P51" s="47"/>
      <c r="Q51" s="47"/>
      <c r="R51" s="47"/>
      <c r="S51" s="47"/>
      <c r="T51" s="47"/>
      <c r="U51" s="47"/>
      <c r="V51" s="47"/>
      <c r="Z51" s="476"/>
    </row>
    <row r="52" spans="1:26" ht="49.5" customHeight="1" thickBot="1" x14ac:dyDescent="0.3">
      <c r="A52" s="1382"/>
      <c r="B52" s="245" t="s">
        <v>632</v>
      </c>
      <c r="C52" s="259" t="str">
        <f>VLOOKUP($B52,Activities!$A$10:$P$152,3,FALSE)</f>
        <v>Direct seeding along rip line or mechanical broadcast seeding</v>
      </c>
      <c r="D52" s="239" t="s">
        <v>49</v>
      </c>
      <c r="E52" s="320"/>
      <c r="F52" s="246" t="str">
        <f>VLOOKUP($B52,Activities!$A$10:$P$152,4,FALSE)</f>
        <v>Ha</v>
      </c>
      <c r="G52" s="1269"/>
      <c r="H52" s="1270"/>
      <c r="I52" s="273">
        <f>VLOOKUP($B52,Activities!$A$10:$S$152,16,FALSE)</f>
        <v>2100.7838269402318</v>
      </c>
      <c r="J52" s="269"/>
      <c r="K52" s="388">
        <f t="shared" si="14"/>
        <v>0</v>
      </c>
      <c r="L52" s="248" t="str">
        <f t="shared" si="13"/>
        <v>0.0%</v>
      </c>
      <c r="M52" s="290" t="str">
        <f>VLOOKUP($B52,Activities!$A$10:$S$152,19,FALSE)</f>
        <v>Sowing of separately purchased seed and or fertiliser for broadcast application that involves scattering seed, by hand or mechanically, over a relatively large area.</v>
      </c>
      <c r="Z52" s="476"/>
    </row>
    <row r="53" spans="1:26" ht="49.5" customHeight="1" thickBot="1" x14ac:dyDescent="0.3">
      <c r="A53" s="1382"/>
      <c r="B53" s="245" t="s">
        <v>633</v>
      </c>
      <c r="C53" s="259" t="str">
        <f>VLOOKUP($B53,Activities!$A$10:$P$152,3,FALSE)</f>
        <v>Hydromulching (does not include seed or fertiliser)</v>
      </c>
      <c r="D53" s="239" t="s">
        <v>49</v>
      </c>
      <c r="E53" s="240"/>
      <c r="F53" s="246" t="str">
        <f>VLOOKUP($B53,Activities!$A$10:$P$152,4,FALSE)</f>
        <v>Ha</v>
      </c>
      <c r="G53" s="1269"/>
      <c r="H53" s="1270"/>
      <c r="I53" s="273">
        <f>VLOOKUP($B53,Activities!$A$10:$S$152,16,FALSE)</f>
        <v>1583.2664818030244</v>
      </c>
      <c r="J53" s="269"/>
      <c r="K53" s="388">
        <f t="shared" si="14"/>
        <v>0</v>
      </c>
      <c r="L53" s="248" t="str">
        <f t="shared" si="13"/>
        <v>0.0%</v>
      </c>
      <c r="M53" s="290" t="str">
        <f>VLOOKUP($B53,Activities!$A$10:$S$152,19,FALSE)</f>
        <v>Hydromulching planting process that uses a slurry of seed and mulch. It is often used as an erosion control technique as an alternative to the traditional process of broadcasting or sowing dry seed.</v>
      </c>
      <c r="Z53" s="476"/>
    </row>
    <row r="54" spans="1:26" ht="49.5" customHeight="1" thickBot="1" x14ac:dyDescent="0.3">
      <c r="A54" s="1382"/>
      <c r="B54" s="245" t="s">
        <v>717</v>
      </c>
      <c r="C54" s="259" t="str">
        <f>VLOOKUP($B54,Activities!$A$10:$P$152,3,FALSE)</f>
        <v>Planting of tubestock &lt;15cm (assumes 1,000 plants per hectare)</v>
      </c>
      <c r="D54" s="239" t="s">
        <v>49</v>
      </c>
      <c r="E54" s="240"/>
      <c r="F54" s="246" t="str">
        <f>VLOOKUP($B54,Activities!$A$10:$P$152,4,FALSE)</f>
        <v>Ha</v>
      </c>
      <c r="G54" s="1269"/>
      <c r="H54" s="1270"/>
      <c r="I54" s="273">
        <f>VLOOKUP($B54,Activities!$A$10:$S$152,16,FALSE)</f>
        <v>1714.118869047619</v>
      </c>
      <c r="J54" s="269"/>
      <c r="K54" s="388">
        <f t="shared" si="14"/>
        <v>0</v>
      </c>
      <c r="L54" s="248" t="str">
        <f t="shared" si="13"/>
        <v>0.0%</v>
      </c>
      <c r="M54" s="290" t="str">
        <f>VLOOKUP($B54,Activities!$A$10:$S$152,19,FALSE)</f>
        <v>This Activity covers the hand planting of tubestock plants across a broad area.</v>
      </c>
    </row>
    <row r="55" spans="1:26" ht="49.5" customHeight="1" thickBot="1" x14ac:dyDescent="0.3">
      <c r="A55" s="1382"/>
      <c r="B55" s="245" t="s">
        <v>25</v>
      </c>
      <c r="C55" s="259" t="str">
        <f>VLOOKUP($B55,Activities!$A$10:$P$152,3,FALSE)</f>
        <v xml:space="preserve">Construction of a stock proof fence including appropriate gates </v>
      </c>
      <c r="D55" s="239" t="s">
        <v>49</v>
      </c>
      <c r="E55" s="240"/>
      <c r="F55" s="246" t="str">
        <f>VLOOKUP($B55,Activities!$A$10:$P$152,4,FALSE)</f>
        <v>km</v>
      </c>
      <c r="G55" s="1269"/>
      <c r="H55" s="1270"/>
      <c r="I55" s="273">
        <f>VLOOKUP($B55,Activities!$A$10:$S$152,16,FALSE)</f>
        <v>13302.992584007126</v>
      </c>
      <c r="J55" s="269"/>
      <c r="K55" s="388">
        <f t="shared" ref="K55" si="15">IF(D55="Y",IF(J55="",I55*E55,J55*E55),0)</f>
        <v>0</v>
      </c>
      <c r="L55" s="248" t="str">
        <f t="shared" si="13"/>
        <v>0.0%</v>
      </c>
      <c r="M55" s="290" t="str">
        <f>VLOOKUP($B55,Activities!$A$10:$S$152,19,FALSE)</f>
        <v>This activity involves the construction of a stock proof fence to protect revegetation against stock and to provide an obstacle to persons to prevent inadvertant access.  It is not designed to prevent a person climbing over it.  It includes an allowance for gates.</v>
      </c>
    </row>
    <row r="56" spans="1:26" ht="42.75" customHeight="1" thickBot="1" x14ac:dyDescent="0.3">
      <c r="A56" s="1383"/>
      <c r="B56" s="480"/>
      <c r="C56" s="271" t="s">
        <v>55</v>
      </c>
      <c r="D56" s="239" t="s">
        <v>49</v>
      </c>
      <c r="E56" s="346"/>
      <c r="F56" s="296"/>
      <c r="G56" s="1269"/>
      <c r="H56" s="1270"/>
      <c r="I56" s="355" t="s">
        <v>475</v>
      </c>
      <c r="J56" s="269"/>
      <c r="K56" s="387">
        <f>IF(D56="Y",J56*E56,"")</f>
        <v>0</v>
      </c>
      <c r="L56" s="248" t="str">
        <f>IFERROR(IF(D56="Y",K56/$K$63,0%),"0.0%")</f>
        <v>0.0%</v>
      </c>
      <c r="M56" s="139" t="s">
        <v>68</v>
      </c>
    </row>
    <row r="57" spans="1:26" ht="15.75" thickBot="1" x14ac:dyDescent="0.3">
      <c r="A57" s="21" t="s">
        <v>53</v>
      </c>
      <c r="B57" s="112" t="str">
        <f>A42</f>
        <v>Re-Vegetation of Area</v>
      </c>
      <c r="C57" s="103"/>
      <c r="D57" s="24"/>
      <c r="E57" s="25"/>
      <c r="F57" s="24"/>
      <c r="G57" s="24"/>
      <c r="H57" s="24"/>
      <c r="I57" s="26"/>
      <c r="J57" s="27"/>
      <c r="K57" s="28">
        <f>SUM(K42:K56)</f>
        <v>0</v>
      </c>
      <c r="L57" s="24"/>
      <c r="M57" s="43"/>
    </row>
    <row r="58" spans="1:26" ht="42.75" customHeight="1" thickBot="1" x14ac:dyDescent="0.3">
      <c r="A58" s="1132" t="s">
        <v>529</v>
      </c>
      <c r="B58" s="480"/>
      <c r="C58" s="271" t="s">
        <v>55</v>
      </c>
      <c r="D58" s="239" t="s">
        <v>49</v>
      </c>
      <c r="E58" s="346"/>
      <c r="F58" s="296"/>
      <c r="G58" s="1269"/>
      <c r="H58" s="1270"/>
      <c r="I58" s="355" t="s">
        <v>475</v>
      </c>
      <c r="J58" s="269"/>
      <c r="K58" s="387">
        <f>IF(D58="Y",J58*E58,"")</f>
        <v>0</v>
      </c>
      <c r="L58" s="248" t="str">
        <f>IFERROR(IF(D58="Y",K58/$K$63,0%),"0.0%")</f>
        <v>0.0%</v>
      </c>
      <c r="M58" s="139" t="s">
        <v>68</v>
      </c>
    </row>
    <row r="59" spans="1:26" ht="42.75" customHeight="1" thickBot="1" x14ac:dyDescent="0.3">
      <c r="A59" s="1133"/>
      <c r="B59" s="480"/>
      <c r="C59" s="271" t="s">
        <v>55</v>
      </c>
      <c r="D59" s="239" t="s">
        <v>49</v>
      </c>
      <c r="E59" s="346"/>
      <c r="F59" s="296"/>
      <c r="G59" s="1269"/>
      <c r="H59" s="1270"/>
      <c r="I59" s="355" t="s">
        <v>475</v>
      </c>
      <c r="J59" s="269"/>
      <c r="K59" s="387">
        <f>IF(D59="Y",J59*E59,"")</f>
        <v>0</v>
      </c>
      <c r="L59" s="248" t="str">
        <f>IFERROR(IF(D59="Y",K59/$K$63,0%),"0.0%")</f>
        <v>0.0%</v>
      </c>
      <c r="M59" s="139" t="s">
        <v>68</v>
      </c>
    </row>
    <row r="60" spans="1:26" ht="42.75" customHeight="1" thickBot="1" x14ac:dyDescent="0.3">
      <c r="A60" s="1134"/>
      <c r="B60" s="480"/>
      <c r="C60" s="271" t="s">
        <v>55</v>
      </c>
      <c r="D60" s="239" t="s">
        <v>49</v>
      </c>
      <c r="E60" s="346"/>
      <c r="F60" s="296"/>
      <c r="G60" s="1269"/>
      <c r="H60" s="1270"/>
      <c r="I60" s="355" t="s">
        <v>475</v>
      </c>
      <c r="J60" s="269"/>
      <c r="K60" s="387">
        <f>IF(D60="Y",J60*E60,"")</f>
        <v>0</v>
      </c>
      <c r="L60" s="248" t="str">
        <f>IFERROR(IF(D60="Y",K60/$K$63,0%),"0.0%")</f>
        <v>0.0%</v>
      </c>
      <c r="M60" s="139" t="s">
        <v>68</v>
      </c>
    </row>
    <row r="61" spans="1:26" ht="15.75" thickBot="1" x14ac:dyDescent="0.3">
      <c r="A61" s="21" t="s">
        <v>53</v>
      </c>
      <c r="B61" s="112" t="str">
        <f>A58</f>
        <v>Other Activities in  Area Specific to this Site</v>
      </c>
      <c r="C61" s="23"/>
      <c r="D61" s="24"/>
      <c r="E61" s="24"/>
      <c r="F61" s="24"/>
      <c r="G61" s="24"/>
      <c r="H61" s="24"/>
      <c r="I61" s="26"/>
      <c r="J61" s="27"/>
      <c r="K61" s="28">
        <f>SUM(K58:K60)</f>
        <v>0</v>
      </c>
      <c r="L61" s="24"/>
      <c r="M61" s="29"/>
    </row>
    <row r="62" spans="1:26" x14ac:dyDescent="0.25">
      <c r="A62" s="3"/>
      <c r="B62" s="481"/>
      <c r="C62" s="30"/>
      <c r="D62" s="9"/>
      <c r="E62" s="9"/>
      <c r="F62" s="9"/>
      <c r="G62" s="9"/>
      <c r="H62" s="9"/>
      <c r="I62" s="32"/>
      <c r="J62" s="2"/>
      <c r="K62" s="77"/>
      <c r="L62" s="9"/>
      <c r="M62" s="30"/>
    </row>
    <row r="63" spans="1:26" ht="27" customHeight="1" x14ac:dyDescent="0.25">
      <c r="A63" s="3"/>
      <c r="B63" s="481"/>
      <c r="C63" s="30"/>
      <c r="D63" s="9"/>
      <c r="E63" s="31"/>
      <c r="F63" s="9"/>
      <c r="G63" s="9"/>
      <c r="H63" s="9"/>
      <c r="J63" s="34" t="s">
        <v>668</v>
      </c>
      <c r="K63" s="53">
        <f>K61+K57+K41+K36+K24</f>
        <v>0</v>
      </c>
      <c r="L63" s="9"/>
      <c r="M63" s="30"/>
    </row>
    <row r="64" spans="1:26" ht="27" customHeight="1" x14ac:dyDescent="0.25">
      <c r="A64" s="3"/>
      <c r="B64" s="481"/>
      <c r="C64" s="30"/>
      <c r="D64" s="9"/>
      <c r="E64" s="31"/>
      <c r="F64" s="9"/>
      <c r="G64" s="9"/>
      <c r="H64" s="9"/>
      <c r="I64" s="32"/>
      <c r="J64" s="2"/>
      <c r="K64" s="77"/>
      <c r="L64" s="9"/>
      <c r="M64" s="30"/>
    </row>
    <row r="65" spans="1:13" ht="27" customHeight="1" x14ac:dyDescent="0.25">
      <c r="A65" s="3"/>
      <c r="B65" s="481"/>
      <c r="C65" s="30"/>
      <c r="D65" s="9"/>
      <c r="E65" s="31"/>
      <c r="F65" s="9"/>
      <c r="G65" s="9"/>
      <c r="H65" s="9"/>
      <c r="I65" s="32"/>
      <c r="J65" s="2"/>
      <c r="K65" s="77"/>
      <c r="L65" s="9"/>
      <c r="M65" s="30"/>
    </row>
    <row r="66" spans="1:13" x14ac:dyDescent="0.25">
      <c r="A66" s="3"/>
      <c r="B66" s="481"/>
      <c r="C66" s="30"/>
      <c r="D66" s="9"/>
      <c r="E66" s="31"/>
      <c r="F66" s="9"/>
      <c r="G66" s="9"/>
      <c r="H66" s="9"/>
      <c r="I66" s="32"/>
      <c r="J66" s="2"/>
      <c r="K66" s="77"/>
      <c r="L66" s="9"/>
      <c r="M66" s="30"/>
    </row>
    <row r="67" spans="1:13" x14ac:dyDescent="0.25">
      <c r="A67" s="3"/>
      <c r="B67" s="481"/>
      <c r="C67" s="30"/>
      <c r="D67" s="9"/>
      <c r="E67" s="31"/>
      <c r="F67" s="9"/>
      <c r="G67" s="9"/>
      <c r="H67" s="9"/>
      <c r="I67" s="32"/>
      <c r="J67" s="2"/>
      <c r="K67" s="77"/>
      <c r="L67" s="9"/>
      <c r="M67" s="30"/>
    </row>
    <row r="68" spans="1:13" ht="15.75" x14ac:dyDescent="0.25">
      <c r="A68" s="3"/>
      <c r="B68" s="481"/>
      <c r="C68" s="30"/>
      <c r="D68" s="9"/>
      <c r="E68" s="54"/>
      <c r="F68" s="9"/>
      <c r="G68" s="9"/>
      <c r="H68" s="9"/>
      <c r="I68" s="32"/>
      <c r="J68" s="2"/>
      <c r="K68" s="77"/>
      <c r="L68" s="9"/>
      <c r="M68" s="30"/>
    </row>
    <row r="69" spans="1:13" x14ac:dyDescent="0.25">
      <c r="A69" s="3"/>
      <c r="B69" s="481"/>
      <c r="C69" s="30"/>
      <c r="D69" s="9"/>
      <c r="E69" s="31"/>
      <c r="F69" s="9"/>
      <c r="G69" s="9"/>
      <c r="H69" s="9"/>
      <c r="I69" s="32"/>
      <c r="J69" s="2"/>
      <c r="K69" s="77"/>
      <c r="L69" s="9"/>
      <c r="M69" s="30"/>
    </row>
    <row r="70" spans="1:13" x14ac:dyDescent="0.25">
      <c r="A70" s="3"/>
      <c r="B70" s="481"/>
      <c r="C70" s="30"/>
      <c r="D70" s="9"/>
      <c r="E70" s="31"/>
      <c r="F70" s="9"/>
      <c r="G70" s="9"/>
      <c r="H70" s="9"/>
      <c r="I70" s="32"/>
      <c r="J70" s="2"/>
      <c r="K70" s="77"/>
      <c r="L70" s="9"/>
      <c r="M70" s="30"/>
    </row>
    <row r="71" spans="1:13" x14ac:dyDescent="0.25">
      <c r="A71" s="3"/>
      <c r="B71" s="481"/>
      <c r="C71" s="30"/>
      <c r="D71" s="9"/>
      <c r="E71" s="31"/>
      <c r="F71" s="9"/>
      <c r="G71" s="9"/>
      <c r="H71" s="9"/>
      <c r="I71" s="32"/>
      <c r="J71" s="2"/>
      <c r="K71" s="77"/>
      <c r="L71" s="9"/>
      <c r="M71" s="30"/>
    </row>
    <row r="72" spans="1:13" x14ac:dyDescent="0.25">
      <c r="A72" s="3"/>
      <c r="B72" s="481"/>
      <c r="C72" s="30"/>
      <c r="D72" s="9"/>
      <c r="E72" s="31"/>
      <c r="F72" s="9"/>
      <c r="G72" s="9"/>
      <c r="H72" s="9"/>
      <c r="I72" s="32"/>
      <c r="J72" s="2"/>
      <c r="K72" s="77"/>
      <c r="L72" s="9"/>
      <c r="M72" s="30"/>
    </row>
    <row r="73" spans="1:13" x14ac:dyDescent="0.25">
      <c r="A73" s="3"/>
      <c r="B73" s="481"/>
      <c r="C73" s="30"/>
      <c r="D73" s="9"/>
      <c r="E73" s="31"/>
      <c r="F73" s="9"/>
      <c r="G73" s="9"/>
      <c r="H73" s="9"/>
      <c r="I73" s="32"/>
      <c r="J73" s="2"/>
      <c r="K73" s="77"/>
      <c r="L73" s="9"/>
      <c r="M73" s="30"/>
    </row>
    <row r="74" spans="1:13" x14ac:dyDescent="0.25">
      <c r="A74" s="3"/>
      <c r="B74" s="481"/>
      <c r="C74" s="30"/>
      <c r="D74" s="9"/>
      <c r="E74" s="31"/>
      <c r="F74" s="9"/>
      <c r="G74" s="9"/>
      <c r="H74" s="9"/>
      <c r="I74" s="32"/>
      <c r="J74" s="2"/>
      <c r="K74" s="77"/>
      <c r="L74" s="9"/>
      <c r="M74" s="30"/>
    </row>
    <row r="75" spans="1:13" x14ac:dyDescent="0.25">
      <c r="A75" s="3"/>
      <c r="B75" s="481"/>
      <c r="C75" s="30"/>
      <c r="D75" s="9"/>
      <c r="E75" s="9"/>
      <c r="F75" s="9"/>
      <c r="G75" s="9"/>
      <c r="H75" s="9"/>
      <c r="I75" s="32"/>
      <c r="J75" s="2"/>
      <c r="K75" s="77"/>
      <c r="L75" s="9"/>
      <c r="M75" s="30"/>
    </row>
    <row r="76" spans="1:13" x14ac:dyDescent="0.25">
      <c r="A76" s="3"/>
      <c r="B76" s="481"/>
      <c r="C76" s="30"/>
      <c r="D76" s="9"/>
      <c r="E76" s="9"/>
      <c r="F76" s="9"/>
      <c r="G76" s="9"/>
      <c r="H76" s="9"/>
      <c r="I76" s="32"/>
      <c r="J76" s="2"/>
      <c r="K76" s="77"/>
      <c r="L76" s="9"/>
      <c r="M76" s="30"/>
    </row>
    <row r="77" spans="1:13" x14ac:dyDescent="0.25">
      <c r="C77" s="30"/>
      <c r="D77" s="9"/>
      <c r="E77" s="9"/>
      <c r="F77" s="9"/>
      <c r="G77" s="9"/>
      <c r="H77" s="9"/>
      <c r="I77" s="32"/>
      <c r="J77" s="2"/>
      <c r="K77" s="9"/>
      <c r="L77" s="9"/>
      <c r="M77" s="30"/>
    </row>
    <row r="78" spans="1:13" x14ac:dyDescent="0.25">
      <c r="C78" s="30"/>
      <c r="D78" s="9"/>
      <c r="E78" s="9"/>
      <c r="F78" s="9"/>
      <c r="G78" s="9"/>
      <c r="H78" s="9"/>
      <c r="I78" s="32"/>
      <c r="J78" s="2"/>
      <c r="K78" s="9"/>
      <c r="L78" s="9"/>
      <c r="M78" s="30"/>
    </row>
    <row r="79" spans="1:13" x14ac:dyDescent="0.25">
      <c r="C79" s="30"/>
      <c r="D79" s="9"/>
      <c r="E79" s="9"/>
      <c r="F79" s="9"/>
      <c r="G79" s="9"/>
      <c r="H79" s="9"/>
      <c r="I79" s="9"/>
      <c r="J79" s="9"/>
      <c r="K79" s="9"/>
      <c r="L79" s="9"/>
      <c r="M79" s="30"/>
    </row>
    <row r="80" spans="1:13" x14ac:dyDescent="0.25">
      <c r="D80" s="9"/>
      <c r="E80" s="9"/>
      <c r="F80" s="9"/>
      <c r="G80" s="9"/>
      <c r="H80" s="9"/>
      <c r="I80" s="9"/>
      <c r="J80" s="9"/>
      <c r="K80" s="9"/>
      <c r="L80" s="9"/>
    </row>
    <row r="81" spans="4:12" x14ac:dyDescent="0.25">
      <c r="D81" s="9"/>
      <c r="E81" s="9"/>
      <c r="F81" s="9"/>
      <c r="G81" s="9"/>
      <c r="H81" s="9"/>
      <c r="I81" s="9"/>
      <c r="J81" s="9"/>
      <c r="K81" s="9"/>
      <c r="L81" s="9"/>
    </row>
    <row r="82" spans="4:12" x14ac:dyDescent="0.25">
      <c r="D82" s="9"/>
      <c r="E82" s="9"/>
      <c r="F82" s="9"/>
      <c r="G82" s="9"/>
      <c r="H82" s="9"/>
      <c r="I82" s="9"/>
      <c r="J82" s="9"/>
      <c r="K82" s="9"/>
      <c r="L82" s="9"/>
    </row>
    <row r="83" spans="4:12" x14ac:dyDescent="0.25">
      <c r="D83" s="9"/>
      <c r="E83" s="9"/>
      <c r="F83" s="9"/>
      <c r="G83" s="9"/>
      <c r="H83" s="9"/>
      <c r="I83" s="9"/>
      <c r="J83" s="9"/>
      <c r="K83" s="9"/>
      <c r="L83" s="9"/>
    </row>
    <row r="84" spans="4:12" x14ac:dyDescent="0.25">
      <c r="D84" s="9"/>
      <c r="E84" s="9"/>
      <c r="F84" s="9"/>
      <c r="G84" s="9"/>
      <c r="H84" s="9"/>
      <c r="I84" s="9"/>
      <c r="J84" s="9"/>
      <c r="K84" s="9"/>
      <c r="L84" s="9"/>
    </row>
    <row r="85" spans="4:12" x14ac:dyDescent="0.25">
      <c r="D85" s="9"/>
      <c r="E85" s="9"/>
      <c r="F85" s="9"/>
      <c r="G85" s="9"/>
      <c r="H85" s="9"/>
      <c r="I85" s="9"/>
      <c r="J85" s="9"/>
      <c r="K85" s="9"/>
      <c r="L85" s="9"/>
    </row>
    <row r="86" spans="4:12" x14ac:dyDescent="0.25">
      <c r="D86" s="9"/>
      <c r="E86" s="9"/>
      <c r="F86" s="9"/>
      <c r="G86" s="9"/>
      <c r="H86" s="9"/>
      <c r="I86" s="9"/>
      <c r="J86" s="9"/>
      <c r="K86" s="9"/>
      <c r="L86" s="9"/>
    </row>
    <row r="87" spans="4:12" x14ac:dyDescent="0.25">
      <c r="D87" s="9"/>
      <c r="E87" s="9"/>
      <c r="F87" s="9"/>
      <c r="G87" s="9"/>
      <c r="H87" s="9"/>
      <c r="I87" s="9"/>
      <c r="J87" s="9"/>
      <c r="K87" s="9"/>
      <c r="L87" s="9"/>
    </row>
    <row r="88" spans="4:12" x14ac:dyDescent="0.25">
      <c r="D88" s="9"/>
      <c r="E88" s="9"/>
      <c r="F88" s="9"/>
      <c r="G88" s="9"/>
      <c r="H88" s="9"/>
      <c r="I88" s="9"/>
      <c r="J88" s="9"/>
      <c r="K88" s="9"/>
      <c r="L88" s="9"/>
    </row>
    <row r="89" spans="4:12" x14ac:dyDescent="0.25">
      <c r="D89" s="9"/>
      <c r="E89" s="9"/>
      <c r="F89" s="9"/>
      <c r="G89" s="9"/>
      <c r="H89" s="9"/>
      <c r="I89" s="9"/>
      <c r="J89" s="9"/>
      <c r="K89" s="9"/>
      <c r="L89" s="9"/>
    </row>
    <row r="90" spans="4:12" x14ac:dyDescent="0.25">
      <c r="D90" s="9"/>
      <c r="E90" s="9"/>
      <c r="F90" s="9"/>
      <c r="G90" s="9"/>
      <c r="H90" s="9"/>
      <c r="I90" s="9"/>
      <c r="J90" s="9"/>
      <c r="K90" s="9"/>
      <c r="L90" s="9"/>
    </row>
    <row r="91" spans="4:12" x14ac:dyDescent="0.25">
      <c r="D91" s="9"/>
      <c r="E91" s="9"/>
      <c r="F91" s="9"/>
      <c r="G91" s="9"/>
      <c r="H91" s="9"/>
      <c r="I91" s="9"/>
      <c r="J91" s="9"/>
      <c r="K91" s="9"/>
      <c r="L91" s="9"/>
    </row>
  </sheetData>
  <sheetProtection algorithmName="SHA-512" hashValue="pXslGVasTyrdlYg3NAGr1ipRXEcveAqE373h7WikqMUhAQxhvR48opz7hS986QjcfozsPnLPLoVwex4A64yEPA==" saltValue="0jGra5Uxrcxw1ITpFKzjzw==" spinCount="100000" sheet="1" formatCells="0" formatRows="0" selectLockedCells="1"/>
  <mergeCells count="60">
    <mergeCell ref="G23:H23"/>
    <mergeCell ref="G25:H25"/>
    <mergeCell ref="G26:H26"/>
    <mergeCell ref="A22:A23"/>
    <mergeCell ref="G22:H22"/>
    <mergeCell ref="B8:E8"/>
    <mergeCell ref="G8:M19"/>
    <mergeCell ref="B9:E9"/>
    <mergeCell ref="B10:E10"/>
    <mergeCell ref="B11:E11"/>
    <mergeCell ref="B12:E12"/>
    <mergeCell ref="A14:B14"/>
    <mergeCell ref="C14:E14"/>
    <mergeCell ref="F1:J3"/>
    <mergeCell ref="A1:B1"/>
    <mergeCell ref="C1:E1"/>
    <mergeCell ref="A5:E6"/>
    <mergeCell ref="G5:J5"/>
    <mergeCell ref="G6:M7"/>
    <mergeCell ref="B7:E7"/>
    <mergeCell ref="G55:H55"/>
    <mergeCell ref="G46:H46"/>
    <mergeCell ref="G47:H47"/>
    <mergeCell ref="G48:H48"/>
    <mergeCell ref="G49:H49"/>
    <mergeCell ref="G50:H50"/>
    <mergeCell ref="G51:H51"/>
    <mergeCell ref="G52:H52"/>
    <mergeCell ref="R1:V1"/>
    <mergeCell ref="R9:V9"/>
    <mergeCell ref="Q25:V25"/>
    <mergeCell ref="G21:H21"/>
    <mergeCell ref="G59:H59"/>
    <mergeCell ref="G30:H30"/>
    <mergeCell ref="G44:H44"/>
    <mergeCell ref="G53:H53"/>
    <mergeCell ref="G54:H54"/>
    <mergeCell ref="G56:H56"/>
    <mergeCell ref="G37:H37"/>
    <mergeCell ref="G38:H38"/>
    <mergeCell ref="G39:H39"/>
    <mergeCell ref="G40:H40"/>
    <mergeCell ref="G35:H35"/>
    <mergeCell ref="G28:H28"/>
    <mergeCell ref="G60:H60"/>
    <mergeCell ref="K1:L1"/>
    <mergeCell ref="C2:E2"/>
    <mergeCell ref="C3:E3"/>
    <mergeCell ref="A16:E19"/>
    <mergeCell ref="L20:M20"/>
    <mergeCell ref="A15:B15"/>
    <mergeCell ref="C15:E15"/>
    <mergeCell ref="A58:A60"/>
    <mergeCell ref="A42:A56"/>
    <mergeCell ref="A37:A40"/>
    <mergeCell ref="A25:A35"/>
    <mergeCell ref="G27:H27"/>
    <mergeCell ref="G29:H29"/>
    <mergeCell ref="G58:H58"/>
    <mergeCell ref="G45:H45"/>
  </mergeCells>
  <dataValidations count="6">
    <dataValidation type="list" allowBlank="1" showInputMessage="1" showErrorMessage="1" sqref="H42" xr:uid="{00000000-0002-0000-1700-000000000000}">
      <formula1>$U$3:$U$7</formula1>
    </dataValidation>
    <dataValidation type="list" allowBlank="1" sqref="H31" xr:uid="{00000000-0002-0000-1700-000001000000}">
      <formula1>Volume</formula1>
    </dataValidation>
    <dataValidation type="list" allowBlank="1" showInputMessage="1" showErrorMessage="1" sqref="H33" xr:uid="{00000000-0002-0000-1700-000002000000}">
      <formula1>$AS$9:$AS$15</formula1>
    </dataValidation>
    <dataValidation type="list" allowBlank="1" showInputMessage="1" showErrorMessage="1" sqref="H43" xr:uid="{00000000-0002-0000-1700-000003000000}">
      <formula1>$U$11:$U$15</formula1>
    </dataValidation>
    <dataValidation type="list" allowBlank="1" showInputMessage="1" showErrorMessage="1" sqref="H34" xr:uid="{00000000-0002-0000-1700-000004000000}">
      <formula1>$AA$20:$AA$26</formula1>
    </dataValidation>
    <dataValidation type="list" allowBlank="1" showInputMessage="1" showErrorMessage="1" sqref="H32" xr:uid="{00000000-0002-0000-1700-000005000000}">
      <formula1>$AL$9:$AL$15</formula1>
    </dataValidation>
  </dataValidations>
  <pageMargins left="0.70866141732283472" right="0.70866141732283472" top="0.74803149606299213" bottom="0.74803149606299213" header="0.31496062992125984" footer="0.31496062992125984"/>
  <pageSetup paperSize="9" scale="50" fitToHeight="3" orientation="landscape" r:id="rId1"/>
  <headerFooter>
    <oddHeader>&amp;LDepartment for Energy and Mining&amp;C&amp;"Arial"&amp;12&amp;KA80000 OFFICIAL&amp;1#_x000D_</oddHeader>
    <oddFooter>&amp;L&amp;Z
&amp;F&amp;C&amp;P&amp;R&amp;D</oddFooter>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pageSetUpPr fitToPage="1"/>
  </sheetPr>
  <dimension ref="A1:Y82"/>
  <sheetViews>
    <sheetView showGridLines="0" zoomScale="90" zoomScaleNormal="90" workbookViewId="0">
      <selection activeCell="G8" sqref="G8:M19"/>
    </sheetView>
  </sheetViews>
  <sheetFormatPr defaultRowHeight="15" x14ac:dyDescent="0.25"/>
  <cols>
    <col min="1" max="1" width="21.140625" customWidth="1"/>
    <col min="2" max="2" width="11.5703125" customWidth="1"/>
    <col min="3" max="3" width="37.7109375" customWidth="1"/>
    <col min="4" max="4" width="13.5703125" customWidth="1"/>
    <col min="5" max="5" width="11" customWidth="1"/>
    <col min="7" max="7" width="21.5703125" customWidth="1"/>
    <col min="8" max="8" width="15" customWidth="1"/>
    <col min="9" max="9" width="12.7109375" customWidth="1"/>
    <col min="10" max="10" width="12.42578125" customWidth="1"/>
    <col min="11" max="11" width="14.42578125" customWidth="1"/>
    <col min="12" max="12" width="13.5703125" customWidth="1"/>
    <col min="13" max="13" width="50.42578125" customWidth="1"/>
    <col min="15" max="15" width="11.140625" customWidth="1"/>
    <col min="17" max="17" width="11.140625" bestFit="1" customWidth="1"/>
    <col min="18" max="22" width="12.42578125" customWidth="1"/>
    <col min="24" max="24" width="32.5703125" bestFit="1" customWidth="1"/>
    <col min="25" max="25" width="12.140625" bestFit="1" customWidth="1"/>
  </cols>
  <sheetData>
    <row r="1" spans="1:25" ht="51" customHeight="1" x14ac:dyDescent="0.25">
      <c r="A1" s="1322" t="s">
        <v>883</v>
      </c>
      <c r="B1" s="1323"/>
      <c r="C1" s="1324" t="str">
        <f>'Summary Page'!E13</f>
        <v/>
      </c>
      <c r="D1" s="1325"/>
      <c r="E1" s="1326"/>
      <c r="F1" s="1313" t="s">
        <v>884</v>
      </c>
      <c r="G1" s="1314"/>
      <c r="H1" s="1314"/>
      <c r="I1" s="1314"/>
      <c r="J1" s="1315"/>
      <c r="K1" s="1295" t="s">
        <v>460</v>
      </c>
      <c r="L1" s="1295"/>
      <c r="M1" s="404" t="s">
        <v>882</v>
      </c>
      <c r="P1" s="525" t="str">
        <f>B30</f>
        <v>A1006</v>
      </c>
      <c r="Q1" s="526" t="s">
        <v>19</v>
      </c>
      <c r="R1" s="1273" t="s">
        <v>893</v>
      </c>
      <c r="S1" s="1274"/>
      <c r="T1" s="1274"/>
      <c r="U1" s="1274"/>
      <c r="V1" s="1275"/>
      <c r="X1" s="516" t="s">
        <v>74</v>
      </c>
      <c r="Y1" s="516" t="str">
        <f>B22</f>
        <v>A1087</v>
      </c>
    </row>
    <row r="2" spans="1:25" ht="30" x14ac:dyDescent="0.35">
      <c r="A2" s="324" t="s">
        <v>461</v>
      </c>
      <c r="B2" s="325">
        <v>12</v>
      </c>
      <c r="C2" s="1296" t="str">
        <f>'Summary Page'!E19</f>
        <v/>
      </c>
      <c r="D2" s="1297"/>
      <c r="E2" s="1348"/>
      <c r="F2" s="1316"/>
      <c r="G2" s="1317"/>
      <c r="H2" s="1317"/>
      <c r="I2" s="1317"/>
      <c r="J2" s="1318"/>
      <c r="K2" s="326"/>
      <c r="L2" s="327" t="s">
        <v>152</v>
      </c>
      <c r="M2" s="328">
        <f>K54</f>
        <v>0</v>
      </c>
      <c r="P2" s="297" t="s">
        <v>61</v>
      </c>
      <c r="Q2" s="371" t="s">
        <v>58</v>
      </c>
      <c r="R2" s="371" t="s">
        <v>59</v>
      </c>
      <c r="S2" s="371" t="s">
        <v>60</v>
      </c>
      <c r="T2" s="371" t="s">
        <v>53</v>
      </c>
      <c r="U2" s="372" t="s">
        <v>61</v>
      </c>
      <c r="V2" s="373" t="s">
        <v>53</v>
      </c>
      <c r="X2" s="41" t="s">
        <v>833</v>
      </c>
      <c r="Y2" s="466">
        <f>VLOOKUP(Y1,Activities!A10:Q129,16,FALSE)</f>
        <v>27868.467286149284</v>
      </c>
    </row>
    <row r="3" spans="1:25" ht="21" x14ac:dyDescent="0.25">
      <c r="A3" s="329" t="s">
        <v>267</v>
      </c>
      <c r="B3" s="330">
        <f>'Version Control'!B50</f>
        <v>7</v>
      </c>
      <c r="C3" s="1356" t="s">
        <v>488</v>
      </c>
      <c r="D3" s="1357"/>
      <c r="E3" s="1358"/>
      <c r="F3" s="1319"/>
      <c r="G3" s="1320"/>
      <c r="H3" s="1320"/>
      <c r="I3" s="1320"/>
      <c r="J3" s="1321"/>
      <c r="K3" s="331"/>
      <c r="L3" s="332" t="s">
        <v>462</v>
      </c>
      <c r="M3" s="333">
        <f>'Summary Page'!J73</f>
        <v>0</v>
      </c>
      <c r="P3" s="374" t="s">
        <v>35</v>
      </c>
      <c r="Q3" s="357">
        <f>VLOOKUP(P1,Activities!$A$10:$Q$152,16,FALSE)</f>
        <v>1.1086505828514972</v>
      </c>
      <c r="R3" s="357">
        <f>VLOOKUP(Q1,Activities!$A$10:$Q$152,16,FALSE)</f>
        <v>1.1303836975020005</v>
      </c>
      <c r="S3" s="376">
        <v>1</v>
      </c>
      <c r="T3" s="375">
        <f>R3+Q3</f>
        <v>2.2390342803534979</v>
      </c>
      <c r="U3" s="235" t="s">
        <v>35</v>
      </c>
      <c r="V3" s="377">
        <f>T3</f>
        <v>2.2390342803534979</v>
      </c>
      <c r="X3" s="71" t="s">
        <v>836</v>
      </c>
      <c r="Y3" s="467">
        <f>Y2*2</f>
        <v>55736.934572298567</v>
      </c>
    </row>
    <row r="4" spans="1:25" ht="21" x14ac:dyDescent="0.25">
      <c r="A4" s="334" t="s">
        <v>463</v>
      </c>
      <c r="B4" s="335">
        <f>'Version Control'!A50</f>
        <v>45531</v>
      </c>
      <c r="C4" s="233"/>
      <c r="D4" s="233"/>
      <c r="E4" s="233"/>
      <c r="F4" s="233"/>
      <c r="G4" s="233"/>
      <c r="H4" s="233"/>
      <c r="I4" s="233"/>
      <c r="J4" s="233"/>
      <c r="K4" s="294"/>
      <c r="L4" s="336" t="s">
        <v>464</v>
      </c>
      <c r="M4" s="337" t="e">
        <f>M2/M3</f>
        <v>#DIV/0!</v>
      </c>
      <c r="P4" s="374" t="s">
        <v>36</v>
      </c>
      <c r="Q4" s="375">
        <f>Q3</f>
        <v>1.1086505828514972</v>
      </c>
      <c r="R4" s="375">
        <f>R3*2</f>
        <v>2.260767395004001</v>
      </c>
      <c r="S4" s="376">
        <v>0.8</v>
      </c>
      <c r="T4" s="375">
        <f>Q4+(R4*S4)</f>
        <v>2.9172644988546983</v>
      </c>
      <c r="U4" s="235" t="s">
        <v>36</v>
      </c>
      <c r="V4" s="377">
        <f>T4</f>
        <v>2.9172644988546983</v>
      </c>
      <c r="X4" s="71" t="s">
        <v>834</v>
      </c>
      <c r="Y4" s="467">
        <f>Y2*3-1</f>
        <v>83604.401858447847</v>
      </c>
    </row>
    <row r="5" spans="1:25" ht="23.25" x14ac:dyDescent="0.25">
      <c r="A5" s="1349" t="s">
        <v>612</v>
      </c>
      <c r="B5" s="1298"/>
      <c r="C5" s="1298"/>
      <c r="D5" s="1298"/>
      <c r="E5" s="1299"/>
      <c r="F5" s="233"/>
      <c r="G5" s="1302" t="s">
        <v>466</v>
      </c>
      <c r="H5" s="1303"/>
      <c r="I5" s="1303"/>
      <c r="J5" s="1304"/>
      <c r="K5" s="233"/>
      <c r="L5" s="233"/>
      <c r="M5" s="233"/>
      <c r="P5" s="374" t="s">
        <v>37</v>
      </c>
      <c r="Q5" s="375">
        <f t="shared" ref="Q5:Q6" si="0">Q4</f>
        <v>1.1086505828514972</v>
      </c>
      <c r="R5" s="375">
        <f>R3*4</f>
        <v>4.5215347900080021</v>
      </c>
      <c r="S5" s="376">
        <v>0.7</v>
      </c>
      <c r="T5" s="375">
        <f>Q5+(R5*S5)</f>
        <v>4.2737249358570981</v>
      </c>
      <c r="U5" s="235" t="s">
        <v>37</v>
      </c>
      <c r="V5" s="377">
        <f>T5</f>
        <v>4.2737249358570981</v>
      </c>
      <c r="X5" s="71" t="s">
        <v>835</v>
      </c>
      <c r="Y5" s="467">
        <f>Y2*5-1</f>
        <v>139341.33643074642</v>
      </c>
    </row>
    <row r="6" spans="1:25" ht="15" customHeight="1" x14ac:dyDescent="0.25">
      <c r="A6" s="1350"/>
      <c r="B6" s="1351"/>
      <c r="C6" s="1351"/>
      <c r="D6" s="1351"/>
      <c r="E6" s="1352"/>
      <c r="F6" s="299"/>
      <c r="G6" s="1305" t="s">
        <v>484</v>
      </c>
      <c r="H6" s="1306"/>
      <c r="I6" s="1306"/>
      <c r="J6" s="1306"/>
      <c r="K6" s="1306"/>
      <c r="L6" s="1306"/>
      <c r="M6" s="1307"/>
      <c r="P6" s="374" t="s">
        <v>38</v>
      </c>
      <c r="Q6" s="375">
        <f t="shared" si="0"/>
        <v>1.1086505828514972</v>
      </c>
      <c r="R6" s="375">
        <f>R3*8</f>
        <v>9.0430695800160041</v>
      </c>
      <c r="S6" s="376">
        <v>0.6</v>
      </c>
      <c r="T6" s="375">
        <f>Q6+(R6*S6)</f>
        <v>6.5344923308610987</v>
      </c>
      <c r="U6" s="235" t="s">
        <v>244</v>
      </c>
      <c r="V6" s="377">
        <f>T6</f>
        <v>6.5344923308610987</v>
      </c>
      <c r="X6" s="52" t="s">
        <v>613</v>
      </c>
      <c r="Y6" s="124"/>
    </row>
    <row r="7" spans="1:25" ht="15" customHeight="1" x14ac:dyDescent="0.25">
      <c r="A7" s="348">
        <v>1</v>
      </c>
      <c r="B7" s="1353" t="s">
        <v>885</v>
      </c>
      <c r="C7" s="1354"/>
      <c r="D7" s="1354"/>
      <c r="E7" s="1355"/>
      <c r="F7" s="339"/>
      <c r="G7" s="1308"/>
      <c r="H7" s="1309"/>
      <c r="I7" s="1309"/>
      <c r="J7" s="1309"/>
      <c r="K7" s="1309"/>
      <c r="L7" s="1309"/>
      <c r="M7" s="1310"/>
      <c r="P7" s="238"/>
      <c r="Q7" s="236"/>
      <c r="R7" s="236"/>
      <c r="S7" s="236"/>
      <c r="T7" s="236"/>
      <c r="U7" s="236" t="s">
        <v>264</v>
      </c>
      <c r="V7" s="237"/>
    </row>
    <row r="8" spans="1:25" x14ac:dyDescent="0.25">
      <c r="A8" s="297">
        <v>2</v>
      </c>
      <c r="B8" s="1340" t="s">
        <v>86</v>
      </c>
      <c r="C8" s="1341"/>
      <c r="D8" s="1341"/>
      <c r="E8" s="1342"/>
      <c r="F8" s="339"/>
      <c r="G8" s="1137"/>
      <c r="H8" s="1138"/>
      <c r="I8" s="1138"/>
      <c r="J8" s="1138"/>
      <c r="K8" s="1138"/>
      <c r="L8" s="1138"/>
      <c r="M8" s="1139"/>
      <c r="P8" s="233"/>
      <c r="Q8" s="233"/>
      <c r="R8" s="233"/>
      <c r="S8" s="233"/>
      <c r="T8" s="233"/>
      <c r="U8" s="233"/>
      <c r="V8" s="233"/>
      <c r="X8" s="127"/>
      <c r="Y8" s="135"/>
    </row>
    <row r="9" spans="1:25" ht="18.75" x14ac:dyDescent="0.25">
      <c r="A9" s="297">
        <v>3</v>
      </c>
      <c r="B9" s="1343" t="s">
        <v>348</v>
      </c>
      <c r="C9" s="1344"/>
      <c r="D9" s="1344"/>
      <c r="E9" s="1345"/>
      <c r="F9" s="339"/>
      <c r="G9" s="1140"/>
      <c r="H9" s="1329"/>
      <c r="I9" s="1329"/>
      <c r="J9" s="1329"/>
      <c r="K9" s="1329"/>
      <c r="L9" s="1329"/>
      <c r="M9" s="1142"/>
      <c r="P9" s="525" t="str">
        <f>B36</f>
        <v>A1013</v>
      </c>
      <c r="Q9" s="526" t="s">
        <v>19</v>
      </c>
      <c r="R9" s="1273" t="s">
        <v>72</v>
      </c>
      <c r="S9" s="1274"/>
      <c r="T9" s="1274"/>
      <c r="U9" s="1274"/>
      <c r="V9" s="1275"/>
      <c r="X9" s="116"/>
      <c r="Y9" s="125"/>
    </row>
    <row r="10" spans="1:25" ht="30" x14ac:dyDescent="0.25">
      <c r="A10" s="297">
        <v>4</v>
      </c>
      <c r="B10" s="1327" t="s">
        <v>886</v>
      </c>
      <c r="C10" s="1327"/>
      <c r="D10" s="1327"/>
      <c r="E10" s="1328"/>
      <c r="F10" s="339"/>
      <c r="G10" s="1140"/>
      <c r="H10" s="1329"/>
      <c r="I10" s="1329"/>
      <c r="J10" s="1329"/>
      <c r="K10" s="1329"/>
      <c r="L10" s="1329"/>
      <c r="M10" s="1142"/>
      <c r="P10" s="297" t="s">
        <v>61</v>
      </c>
      <c r="Q10" s="371" t="s">
        <v>58</v>
      </c>
      <c r="R10" s="371" t="s">
        <v>59</v>
      </c>
      <c r="S10" s="371" t="s">
        <v>60</v>
      </c>
      <c r="T10" s="371" t="s">
        <v>53</v>
      </c>
      <c r="U10" s="372" t="s">
        <v>61</v>
      </c>
      <c r="V10" s="373" t="s">
        <v>53</v>
      </c>
    </row>
    <row r="11" spans="1:25" x14ac:dyDescent="0.25">
      <c r="A11" s="297">
        <v>5</v>
      </c>
      <c r="B11" s="1330" t="s">
        <v>486</v>
      </c>
      <c r="C11" s="1331"/>
      <c r="D11" s="1331"/>
      <c r="E11" s="1332"/>
      <c r="F11" s="339"/>
      <c r="G11" s="1140"/>
      <c r="H11" s="1329"/>
      <c r="I11" s="1329"/>
      <c r="J11" s="1329"/>
      <c r="K11" s="1329"/>
      <c r="L11" s="1329"/>
      <c r="M11" s="1142"/>
      <c r="P11" s="374" t="s">
        <v>35</v>
      </c>
      <c r="Q11" s="357">
        <f>VLOOKUP(P9,Activities!$A$10:$Q$152,16,FALSE)</f>
        <v>1.4289323610931841</v>
      </c>
      <c r="R11" s="357">
        <f>VLOOKUP(Q9,Activities!$A$10:$Q$152,16,FALSE)</f>
        <v>1.1303836975020005</v>
      </c>
      <c r="S11" s="376">
        <v>1</v>
      </c>
      <c r="T11" s="375">
        <f>R11+Q11</f>
        <v>2.5593160585951846</v>
      </c>
      <c r="U11" s="235" t="s">
        <v>35</v>
      </c>
      <c r="V11" s="377">
        <f>T11</f>
        <v>2.5593160585951846</v>
      </c>
    </row>
    <row r="12" spans="1:25" x14ac:dyDescent="0.25">
      <c r="A12" s="305">
        <v>6</v>
      </c>
      <c r="B12" s="1346" t="s">
        <v>487</v>
      </c>
      <c r="C12" s="1346"/>
      <c r="D12" s="1346"/>
      <c r="E12" s="1347"/>
      <c r="F12" s="233"/>
      <c r="G12" s="1140"/>
      <c r="H12" s="1329"/>
      <c r="I12" s="1329"/>
      <c r="J12" s="1329"/>
      <c r="K12" s="1329"/>
      <c r="L12" s="1329"/>
      <c r="M12" s="1142"/>
      <c r="P12" s="374" t="s">
        <v>36</v>
      </c>
      <c r="Q12" s="375">
        <f>Q11</f>
        <v>1.4289323610931841</v>
      </c>
      <c r="R12" s="375">
        <f>R11*2</f>
        <v>2.260767395004001</v>
      </c>
      <c r="S12" s="376">
        <v>0.8</v>
      </c>
      <c r="T12" s="375">
        <f>Q12+(R12*S12)</f>
        <v>3.237546277096385</v>
      </c>
      <c r="U12" s="235" t="s">
        <v>36</v>
      </c>
      <c r="V12" s="377">
        <f>T12</f>
        <v>3.237546277096385</v>
      </c>
    </row>
    <row r="13" spans="1:25" x14ac:dyDescent="0.25">
      <c r="A13" s="340" t="s">
        <v>34</v>
      </c>
      <c r="B13" s="233"/>
      <c r="C13" s="233"/>
      <c r="D13" s="233"/>
      <c r="E13" s="233"/>
      <c r="F13" s="233"/>
      <c r="G13" s="1140"/>
      <c r="H13" s="1329"/>
      <c r="I13" s="1329"/>
      <c r="J13" s="1329"/>
      <c r="K13" s="1329"/>
      <c r="L13" s="1329"/>
      <c r="M13" s="1142"/>
      <c r="P13" s="374" t="s">
        <v>37</v>
      </c>
      <c r="Q13" s="375">
        <f t="shared" ref="Q13:Q14" si="1">Q12</f>
        <v>1.4289323610931841</v>
      </c>
      <c r="R13" s="375">
        <f>R11*4</f>
        <v>4.5215347900080021</v>
      </c>
      <c r="S13" s="376">
        <v>0.7</v>
      </c>
      <c r="T13" s="375">
        <f>Q13+(R13*S13)</f>
        <v>4.5940067140987857</v>
      </c>
      <c r="U13" s="235" t="s">
        <v>37</v>
      </c>
      <c r="V13" s="377">
        <f>T13</f>
        <v>4.5940067140987857</v>
      </c>
    </row>
    <row r="14" spans="1:25" x14ac:dyDescent="0.25">
      <c r="A14" s="1276"/>
      <c r="B14" s="1277"/>
      <c r="C14" s="1278" t="s">
        <v>352</v>
      </c>
      <c r="D14" s="1278"/>
      <c r="E14" s="1279"/>
      <c r="F14" s="233"/>
      <c r="G14" s="1140"/>
      <c r="H14" s="1329"/>
      <c r="I14" s="1329"/>
      <c r="J14" s="1329"/>
      <c r="K14" s="1329"/>
      <c r="L14" s="1329"/>
      <c r="M14" s="1142"/>
      <c r="P14" s="374" t="s">
        <v>38</v>
      </c>
      <c r="Q14" s="375">
        <f t="shared" si="1"/>
        <v>1.4289323610931841</v>
      </c>
      <c r="R14" s="375">
        <f>R11*8</f>
        <v>9.0430695800160041</v>
      </c>
      <c r="S14" s="376">
        <v>0.6</v>
      </c>
      <c r="T14" s="375">
        <f>Q14+(R14*S14)</f>
        <v>6.8547741091027863</v>
      </c>
      <c r="U14" s="235" t="s">
        <v>244</v>
      </c>
      <c r="V14" s="377">
        <f>T14</f>
        <v>6.8547741091027863</v>
      </c>
    </row>
    <row r="15" spans="1:25" x14ac:dyDescent="0.25">
      <c r="A15" s="1201"/>
      <c r="B15" s="1202"/>
      <c r="C15" s="1280" t="s">
        <v>467</v>
      </c>
      <c r="D15" s="1280"/>
      <c r="E15" s="1281"/>
      <c r="F15" s="233"/>
      <c r="G15" s="1140"/>
      <c r="H15" s="1329"/>
      <c r="I15" s="1329"/>
      <c r="J15" s="1329"/>
      <c r="K15" s="1329"/>
      <c r="L15" s="1329"/>
      <c r="M15" s="1142"/>
      <c r="P15" s="378"/>
      <c r="Q15" s="379"/>
      <c r="R15" s="379"/>
      <c r="S15" s="379"/>
      <c r="T15" s="379"/>
      <c r="U15" s="236" t="s">
        <v>264</v>
      </c>
      <c r="V15" s="380"/>
    </row>
    <row r="16" spans="1:25" x14ac:dyDescent="0.25">
      <c r="A16" s="1284" t="s">
        <v>826</v>
      </c>
      <c r="B16" s="1285"/>
      <c r="C16" s="1285"/>
      <c r="D16" s="1285"/>
      <c r="E16" s="1286"/>
      <c r="F16" s="233"/>
      <c r="G16" s="1140"/>
      <c r="H16" s="1329"/>
      <c r="I16" s="1329"/>
      <c r="J16" s="1329"/>
      <c r="K16" s="1329"/>
      <c r="L16" s="1329"/>
      <c r="M16" s="1142"/>
    </row>
    <row r="17" spans="1:24" x14ac:dyDescent="0.25">
      <c r="A17" s="1287"/>
      <c r="B17" s="1288"/>
      <c r="C17" s="1288"/>
      <c r="D17" s="1288"/>
      <c r="E17" s="1289"/>
      <c r="F17" s="233"/>
      <c r="G17" s="1140"/>
      <c r="H17" s="1329"/>
      <c r="I17" s="1329"/>
      <c r="J17" s="1329"/>
      <c r="K17" s="1329"/>
      <c r="L17" s="1329"/>
      <c r="M17" s="1142"/>
    </row>
    <row r="18" spans="1:24" x14ac:dyDescent="0.25">
      <c r="A18" s="1287"/>
      <c r="B18" s="1288"/>
      <c r="C18" s="1288"/>
      <c r="D18" s="1288"/>
      <c r="E18" s="1289"/>
      <c r="F18" s="233"/>
      <c r="G18" s="1140"/>
      <c r="H18" s="1329"/>
      <c r="I18" s="1329"/>
      <c r="J18" s="1329"/>
      <c r="K18" s="1329"/>
      <c r="L18" s="1329"/>
      <c r="M18" s="1142"/>
    </row>
    <row r="19" spans="1:24" x14ac:dyDescent="0.25">
      <c r="A19" s="1290"/>
      <c r="B19" s="1291"/>
      <c r="C19" s="1291"/>
      <c r="D19" s="1291"/>
      <c r="E19" s="1292"/>
      <c r="F19" s="233"/>
      <c r="G19" s="1143"/>
      <c r="H19" s="1144"/>
      <c r="I19" s="1144"/>
      <c r="J19" s="1144"/>
      <c r="K19" s="1144"/>
      <c r="L19" s="1144"/>
      <c r="M19" s="1145"/>
    </row>
    <row r="20" spans="1:24" ht="15" customHeight="1" x14ac:dyDescent="0.25">
      <c r="A20" s="233"/>
      <c r="B20" s="233"/>
      <c r="C20" s="233"/>
      <c r="D20" s="366"/>
      <c r="E20" s="233"/>
      <c r="F20" s="233"/>
      <c r="G20" s="233"/>
      <c r="H20" s="233"/>
      <c r="I20" s="233"/>
      <c r="J20" s="219"/>
      <c r="K20" s="367"/>
      <c r="L20" s="1291"/>
      <c r="M20" s="1292"/>
      <c r="N20" s="136"/>
      <c r="O20" s="136"/>
      <c r="W20" s="136"/>
      <c r="X20" s="136"/>
    </row>
    <row r="21" spans="1:24" s="1" customFormat="1" ht="60.75" customHeight="1" thickBot="1" x14ac:dyDescent="0.3">
      <c r="A21" s="119" t="s">
        <v>39</v>
      </c>
      <c r="B21" s="120" t="s">
        <v>40</v>
      </c>
      <c r="C21" s="120" t="s">
        <v>479</v>
      </c>
      <c r="D21" s="311" t="s">
        <v>272</v>
      </c>
      <c r="E21" s="311" t="s">
        <v>43</v>
      </c>
      <c r="F21" s="120" t="s">
        <v>273</v>
      </c>
      <c r="G21" s="1212" t="s">
        <v>416</v>
      </c>
      <c r="H21" s="1212"/>
      <c r="I21" s="120" t="s">
        <v>45</v>
      </c>
      <c r="J21" s="312" t="s">
        <v>271</v>
      </c>
      <c r="K21" s="120" t="s">
        <v>47</v>
      </c>
      <c r="L21" s="120" t="s">
        <v>270</v>
      </c>
      <c r="M21" s="317" t="s">
        <v>415</v>
      </c>
      <c r="N21" s="243"/>
      <c r="O21" s="138"/>
      <c r="W21" s="138"/>
      <c r="X21" s="138"/>
    </row>
    <row r="22" spans="1:24" ht="60.75" customHeight="1" thickBot="1" x14ac:dyDescent="0.3">
      <c r="A22" s="244" t="s">
        <v>76</v>
      </c>
      <c r="B22" s="245" t="s">
        <v>608</v>
      </c>
      <c r="C22" s="259" t="str">
        <f>VLOOKUP($B22,Activities!$A$10:$P$152,3,FALSE)</f>
        <v>Design/Quantify/Survey Rehabilitation Structures to Specification Standard</v>
      </c>
      <c r="D22" s="239" t="s">
        <v>49</v>
      </c>
      <c r="E22" s="240"/>
      <c r="F22" s="246" t="s">
        <v>50</v>
      </c>
      <c r="G22" s="313" t="s">
        <v>615</v>
      </c>
      <c r="H22" s="140" t="s">
        <v>613</v>
      </c>
      <c r="I22" s="273">
        <f>VLOOKUP(H22,X2:Y6,2,FALSE)</f>
        <v>0</v>
      </c>
      <c r="J22" s="269"/>
      <c r="K22" s="390">
        <f t="shared" ref="K22" si="2">IF(D22="Y",IF(J22="",I22*E22,J22*E22),"")</f>
        <v>0</v>
      </c>
      <c r="L22" s="248" t="str">
        <f>IFERROR(IF(D22="Y",K22/$K$54,0%),"0.0%")</f>
        <v>0.0%</v>
      </c>
      <c r="M22" s="290" t="str">
        <f>VLOOKUP($B22,Activities!$A$10:$S$152,19,FALSE)</f>
        <v>This item covers the cost of a third party called in to determine the extent of work required and to assess the methodology to complete the work and any other design or planning activities required.</v>
      </c>
      <c r="N22" s="233"/>
      <c r="O22" s="136"/>
      <c r="W22" s="136"/>
      <c r="X22" s="136"/>
    </row>
    <row r="23" spans="1:24" ht="15.75" customHeight="1" thickBot="1" x14ac:dyDescent="0.3">
      <c r="A23" s="293" t="s">
        <v>53</v>
      </c>
      <c r="B23" s="250" t="str">
        <f>A22</f>
        <v>Preliminaries</v>
      </c>
      <c r="C23" s="251"/>
      <c r="D23" s="252"/>
      <c r="E23" s="253"/>
      <c r="F23" s="252"/>
      <c r="G23" s="252"/>
      <c r="H23" s="252"/>
      <c r="I23" s="353"/>
      <c r="J23" s="354"/>
      <c r="K23" s="256">
        <f>SUM(K22:K22)</f>
        <v>0</v>
      </c>
      <c r="L23" s="252"/>
      <c r="M23" s="257"/>
      <c r="N23" s="233"/>
      <c r="O23" s="136"/>
      <c r="W23" s="136"/>
      <c r="X23" s="136"/>
    </row>
    <row r="24" spans="1:24" ht="55.5" customHeight="1" thickBot="1" x14ac:dyDescent="0.3">
      <c r="A24" s="1337" t="s">
        <v>262</v>
      </c>
      <c r="B24" s="270"/>
      <c r="C24" s="295" t="s">
        <v>300</v>
      </c>
      <c r="D24" s="239" t="s">
        <v>49</v>
      </c>
      <c r="E24" s="607"/>
      <c r="F24" s="296"/>
      <c r="G24" s="1269"/>
      <c r="H24" s="1270"/>
      <c r="I24" s="355" t="s">
        <v>475</v>
      </c>
      <c r="J24" s="352"/>
      <c r="K24" s="388">
        <f>IF(D24="Y",J24*E24,"")</f>
        <v>0</v>
      </c>
      <c r="L24" s="248" t="str">
        <f>IFERROR(IF(D24="Y",K24/$K$54,0%),"0.0%")</f>
        <v>0.0%</v>
      </c>
      <c r="M24" s="139" t="s">
        <v>68</v>
      </c>
      <c r="N24" s="233"/>
      <c r="O24" s="136"/>
      <c r="P24" s="233"/>
      <c r="Q24" s="233"/>
      <c r="R24" s="233"/>
      <c r="S24" s="233"/>
      <c r="T24" s="233"/>
      <c r="U24" s="233"/>
      <c r="V24" s="233"/>
      <c r="W24" s="136"/>
      <c r="X24" s="136"/>
    </row>
    <row r="25" spans="1:24" ht="55.5" customHeight="1" thickBot="1" x14ac:dyDescent="0.3">
      <c r="A25" s="1359"/>
      <c r="B25" s="270"/>
      <c r="C25" s="295" t="s">
        <v>300</v>
      </c>
      <c r="D25" s="239" t="s">
        <v>49</v>
      </c>
      <c r="E25" s="607"/>
      <c r="F25" s="296"/>
      <c r="G25" s="1269"/>
      <c r="H25" s="1270"/>
      <c r="I25" s="355" t="s">
        <v>475</v>
      </c>
      <c r="J25" s="269"/>
      <c r="K25" s="388">
        <f>IF(D25="Y",J25*E25,"")</f>
        <v>0</v>
      </c>
      <c r="L25" s="248" t="str">
        <f>IFERROR(IF(D25="Y",K25/$K$54,0%),"0.0%")</f>
        <v>0.0%</v>
      </c>
      <c r="M25" s="139" t="s">
        <v>68</v>
      </c>
      <c r="N25" s="233"/>
      <c r="O25" s="136"/>
      <c r="P25" s="136"/>
      <c r="Q25" s="136"/>
      <c r="R25" s="136"/>
      <c r="S25" s="136"/>
      <c r="T25" s="136"/>
      <c r="U25" s="136"/>
      <c r="V25" s="136"/>
      <c r="W25" s="136"/>
      <c r="X25" s="136"/>
    </row>
    <row r="26" spans="1:24" ht="15.75" customHeight="1" thickBot="1" x14ac:dyDescent="0.3">
      <c r="A26" s="293" t="s">
        <v>53</v>
      </c>
      <c r="B26" s="250" t="str">
        <f>A24</f>
        <v>Define Any Special Treatments for the Pit</v>
      </c>
      <c r="C26" s="251"/>
      <c r="D26" s="252"/>
      <c r="E26" s="253"/>
      <c r="F26" s="252"/>
      <c r="G26" s="252"/>
      <c r="H26" s="252"/>
      <c r="I26" s="353"/>
      <c r="J26" s="354"/>
      <c r="K26" s="256">
        <f>SUM(K24:K25)</f>
        <v>0</v>
      </c>
      <c r="L26" s="252"/>
      <c r="M26" s="257"/>
      <c r="N26" s="233"/>
    </row>
    <row r="27" spans="1:24" ht="70.5" customHeight="1" thickBot="1" x14ac:dyDescent="0.3">
      <c r="A27" s="1333" t="s">
        <v>263</v>
      </c>
      <c r="B27" s="258" t="s">
        <v>87</v>
      </c>
      <c r="C27" s="259" t="str">
        <f>VLOOKUP($B27,Activities!$A$10:$P$152,3,FALSE)</f>
        <v xml:space="preserve">Drill and Blast the top bench to half height </v>
      </c>
      <c r="D27" s="239" t="s">
        <v>49</v>
      </c>
      <c r="E27" s="240"/>
      <c r="F27" s="246" t="str">
        <f>VLOOKUP($B27,Activities!$A$10:$P$152,4,FALSE)</f>
        <v>m3</v>
      </c>
      <c r="G27" s="1269"/>
      <c r="H27" s="1270"/>
      <c r="I27" s="272">
        <f>VLOOKUP($B27,Activities!$A$10:$S$152,16,FALSE)</f>
        <v>3.3924281586577618</v>
      </c>
      <c r="J27" s="269"/>
      <c r="K27" s="388">
        <f t="shared" ref="K27:K29" si="3">IF(D27="Y",IF(J27="",I27*E27,J27*E27),0)</f>
        <v>0</v>
      </c>
      <c r="L27" s="248" t="str">
        <f>IFERROR(IF(D27="Y",K27/$K$55,0%),"0.0%")</f>
        <v>0.0%</v>
      </c>
      <c r="M27" s="290" t="str">
        <f>VLOOKUP($B27,Activities!$A$10:$S$152,19,FALSE)</f>
        <v>This activity provides a greater degree of stability by 'rolling over' the top face.  It also provides a better visual impact and it is possible to spread soil or overburden material to assist in vegetation growth.  For remote sites it may not necessarily add significant value and should be assessed in regards to pit stability and visual impacts.  Alternatively it may be possible to excavate this material rather than blast.</v>
      </c>
      <c r="N27" s="233"/>
    </row>
    <row r="28" spans="1:24" ht="65.25" customHeight="1" thickBot="1" x14ac:dyDescent="0.3">
      <c r="A28" s="1334"/>
      <c r="B28" s="258" t="s">
        <v>78</v>
      </c>
      <c r="C28" s="259" t="str">
        <f>VLOOKUP($B28,Activities!$A$10:$P$152,3,FALSE)</f>
        <v xml:space="preserve">Consolidation of loose Stockpiles of Waste and/or Ore </v>
      </c>
      <c r="D28" s="239" t="s">
        <v>49</v>
      </c>
      <c r="E28" s="240"/>
      <c r="F28" s="246" t="str">
        <f>VLOOKUP($B28,Activities!$A$10:$P$152,4,FALSE)</f>
        <v>m3</v>
      </c>
      <c r="G28" s="1269"/>
      <c r="H28" s="1270"/>
      <c r="I28" s="272">
        <f>VLOOKUP($B28,Activities!$A$10:$S$152,16,FALSE)</f>
        <v>3.7418180963331782</v>
      </c>
      <c r="J28" s="269"/>
      <c r="K28" s="388">
        <f t="shared" si="3"/>
        <v>0</v>
      </c>
      <c r="L28" s="248" t="str">
        <f>IFERROR(IF(D28="Y",K28/$K$55,0%),"0.0%")</f>
        <v>0.0%</v>
      </c>
      <c r="M28" s="290" t="str">
        <f>VLOOKUP($B28,Activities!$A$10:$S$152,19,FALSE)</f>
        <v>This activity covers the removal of small stockpiles of waste rock, ROM ore and other stockpiles.  These are consolidated into one waste dump for rehabilitation.</v>
      </c>
      <c r="N28" s="233"/>
    </row>
    <row r="29" spans="1:24" ht="36.75" thickBot="1" x14ac:dyDescent="0.3">
      <c r="A29" s="1334"/>
      <c r="B29" s="245" t="s">
        <v>81</v>
      </c>
      <c r="C29" s="259" t="str">
        <f>VLOOKUP($B29,Activities!$A$10:$P$152,3,FALSE)</f>
        <v>Construction of Berm or Barrier to prevent Access</v>
      </c>
      <c r="D29" s="239" t="s">
        <v>49</v>
      </c>
      <c r="E29" s="240"/>
      <c r="F29" s="246" t="str">
        <f>VLOOKUP($B29,Activities!$A$10:$P$152,4,FALSE)</f>
        <v>Lin m</v>
      </c>
      <c r="G29" s="1269"/>
      <c r="H29" s="1270"/>
      <c r="I29" s="272">
        <f>VLOOKUP($B29,Activities!$A$10:$S$152,16,FALSE)</f>
        <v>56.743935369018423</v>
      </c>
      <c r="J29" s="269"/>
      <c r="K29" s="388">
        <f t="shared" si="3"/>
        <v>0</v>
      </c>
      <c r="L29" s="248" t="str">
        <f>IFERROR(IF(D29="Y",K29/$K$55,0%),"0.0%")</f>
        <v>0.0%</v>
      </c>
      <c r="M29" s="290" t="str">
        <f>VLOOKUP($B29,Activities!$A$10:$S$152,19,FALSE)</f>
        <v>The activity covers the construction of a Berm or Barrier to prevent access.  The Barrier is designed to prevent vehicular access and is a significant size to do this.</v>
      </c>
      <c r="N29" s="233"/>
    </row>
    <row r="30" spans="1:24" ht="54" customHeight="1" thickBot="1" x14ac:dyDescent="0.3">
      <c r="A30" s="1334"/>
      <c r="B30" s="245" t="s">
        <v>17</v>
      </c>
      <c r="C30" s="259" t="str">
        <f>VLOOKUP($B30,Activities!$A$10:$P$152,3,FALSE)</f>
        <v xml:space="preserve">Excavation of earthen materials from local borrow pits, plus haulage </v>
      </c>
      <c r="D30" s="239" t="s">
        <v>49</v>
      </c>
      <c r="E30" s="346"/>
      <c r="F30" s="246" t="str">
        <f>VLOOKUP($B30,Activities!$A$10:$P$152,4,FALSE)</f>
        <v>m3</v>
      </c>
      <c r="G30" s="313" t="s">
        <v>635</v>
      </c>
      <c r="H30" s="140" t="s">
        <v>264</v>
      </c>
      <c r="I30" s="272">
        <f>VLOOKUP(H30,U3:V7,2)</f>
        <v>0</v>
      </c>
      <c r="J30" s="269"/>
      <c r="K30" s="390">
        <f t="shared" ref="K30" si="4">IF(D30="Y",IF(J30="",I30*E30,J30*E30),"")</f>
        <v>0</v>
      </c>
      <c r="L30" s="248" t="str">
        <f>IFERROR(IF(D30="Y",K30/$K$54,0%),"0.0%")</f>
        <v>0.0%</v>
      </c>
      <c r="M30" s="290" t="str">
        <f>VLOOKUP($B30,Activities!$A$10:$S$152,19,FALSE)</f>
        <v>This activity involves the excavation of earthern material from a local borrow pit and the loading of that material into a truck.  Haulage cost based on distance hauled.</v>
      </c>
      <c r="N30" s="233"/>
      <c r="O30" s="47"/>
    </row>
    <row r="31" spans="1:24" ht="49.5" customHeight="1" thickBot="1" x14ac:dyDescent="0.3">
      <c r="A31" s="1334"/>
      <c r="B31" s="245" t="s">
        <v>18</v>
      </c>
      <c r="C31" s="259" t="str">
        <f>VLOOKUP($B31,Activities!$A$10:$P$152,3,FALSE)</f>
        <v>Spreading Materials on ground or an open area excluding compaction (&gt;1,000m3)</v>
      </c>
      <c r="D31" s="239" t="s">
        <v>49</v>
      </c>
      <c r="E31" s="240"/>
      <c r="F31" s="246" t="str">
        <f>VLOOKUP($B31,Activities!$A$10:$P$152,4,FALSE)</f>
        <v>m3</v>
      </c>
      <c r="G31" s="1269"/>
      <c r="H31" s="1270"/>
      <c r="I31" s="272">
        <f>VLOOKUP($B31,Activities!$A$10:$S$152,16,FALSE)</f>
        <v>1.0890037105820705</v>
      </c>
      <c r="J31" s="269"/>
      <c r="K31" s="388">
        <f t="shared" ref="K31:K34" si="5">IF(D31="Y",IF(J31="",I31*E31,J31*E31),0)</f>
        <v>0</v>
      </c>
      <c r="L31" s="248" t="str">
        <f>IFERROR(IF(D31="Y",K31/$K$55,0%),"0.0%")</f>
        <v>0.0%</v>
      </c>
      <c r="M31" s="290" t="str">
        <f>VLOOKUP($B31,Activities!$A$10:$S$152,19,FALSE)</f>
        <v xml:space="preserve">This activity involves the spreading of material that has been transported and dumped at the work area. </v>
      </c>
      <c r="N31" s="233"/>
      <c r="O31" s="47"/>
      <c r="P31" s="47"/>
      <c r="Q31" s="47"/>
      <c r="R31" s="47"/>
      <c r="S31" s="47"/>
    </row>
    <row r="32" spans="1:24" ht="66" customHeight="1" thickBot="1" x14ac:dyDescent="0.3">
      <c r="A32" s="1334"/>
      <c r="B32" s="245" t="s">
        <v>79</v>
      </c>
      <c r="C32" s="259" t="str">
        <f>VLOOKUP($B32,Activities!$A$10:$P$152,3,FALSE)</f>
        <v>Minor Shaping across a Dump or Disturbed Area</v>
      </c>
      <c r="D32" s="239" t="s">
        <v>49</v>
      </c>
      <c r="E32" s="240"/>
      <c r="F32" s="246" t="str">
        <f>VLOOKUP($B32,Activities!$A$10:$P$152,4,FALSE)</f>
        <v>Ha</v>
      </c>
      <c r="G32" s="1269"/>
      <c r="H32" s="1270"/>
      <c r="I32" s="273">
        <f>VLOOKUP($B32,Activities!$A$10:$S$152,16,FALSE)</f>
        <v>2987.2221197728068</v>
      </c>
      <c r="J32" s="269"/>
      <c r="K32" s="388">
        <f t="shared" si="5"/>
        <v>0</v>
      </c>
      <c r="L32" s="248" t="str">
        <f>IFERROR(IF(D32="Y",K32/$K$55,0%),"0.0%")</f>
        <v>0.0%</v>
      </c>
      <c r="M32" s="290" t="str">
        <f>VLOOKUP($B32,Activities!$A$10:$S$152,19,FALSE)</f>
        <v xml:space="preserve">This activity covers minor shaping shifting pushing across a dump or disturbed area.  It is based on a rate per hectare.  It covers area where there needs to be some clearing work, tidying up of disturbed ground,  but not just bulk pushing </v>
      </c>
      <c r="N32" s="233"/>
      <c r="O32" s="47"/>
    </row>
    <row r="33" spans="1:15" ht="54.75" customHeight="1" thickBot="1" x14ac:dyDescent="0.3">
      <c r="A33" s="1334"/>
      <c r="B33" s="102" t="s">
        <v>13</v>
      </c>
      <c r="C33" s="259" t="str">
        <f>VLOOKUP($B33,Activities!$A$10:$P$152,3,FALSE)</f>
        <v>Major Bulk Pushing/Dozing to achieve Final Land Forms</v>
      </c>
      <c r="D33" s="239" t="s">
        <v>49</v>
      </c>
      <c r="E33" s="240"/>
      <c r="F33" s="246" t="str">
        <f>VLOOKUP($B33,Activities!$A$10:$P$152,4,FALSE)</f>
        <v>m3</v>
      </c>
      <c r="G33" s="1269"/>
      <c r="H33" s="1270"/>
      <c r="I33" s="272">
        <f>VLOOKUP($B33,Activities!$A$10:$S$152,16,FALSE)</f>
        <v>0.96390609627070267</v>
      </c>
      <c r="J33" s="269"/>
      <c r="K33" s="388">
        <f t="shared" si="5"/>
        <v>0</v>
      </c>
      <c r="L33" s="248" t="str">
        <f>IFERROR(IF(D33="Y",K33/$K$55,0%),"0.0%")</f>
        <v>0.0%</v>
      </c>
      <c r="M33" s="290" t="str">
        <f>VLOOKUP($B33,Activities!$A$10:$S$152,19,FALSE)</f>
        <v>This unit cost covers the use of a dozer to push material within reasonable confines to achieve a Final Land Form.  It is often undertaken prior to covering a tailing storage facility</v>
      </c>
      <c r="N33" s="233"/>
      <c r="O33" s="47"/>
    </row>
    <row r="34" spans="1:15" ht="44.25" customHeight="1" thickBot="1" x14ac:dyDescent="0.3">
      <c r="A34" s="1334"/>
      <c r="B34" s="258" t="s">
        <v>80</v>
      </c>
      <c r="C34" s="259" t="str">
        <f>VLOOKUP($B34,Activities!$A$10:$P$152,3,FALSE)</f>
        <v>Construction of Water Run-off Management Structures and/or Dams</v>
      </c>
      <c r="D34" s="239" t="s">
        <v>49</v>
      </c>
      <c r="E34" s="240"/>
      <c r="F34" s="246" t="str">
        <f>VLOOKUP($B34,Activities!$A$10:$P$152,4,FALSE)</f>
        <v>Ha</v>
      </c>
      <c r="G34" s="1269"/>
      <c r="H34" s="1270"/>
      <c r="I34" s="273">
        <f>VLOOKUP($B34,Activities!$A$10:$S$152,16,FALSE)</f>
        <v>7806.9613461745139</v>
      </c>
      <c r="J34" s="269"/>
      <c r="K34" s="388">
        <f t="shared" si="5"/>
        <v>0</v>
      </c>
      <c r="L34" s="248" t="str">
        <f>IFERROR(IF(D34="Y",K34/$K$55,0%),"0.0%")</f>
        <v>0.0%</v>
      </c>
      <c r="M34" s="290" t="str">
        <f>VLOOKUP($B34,Activities!$A$10:$S$152,19,FALSE)</f>
        <v>This activity is a general activity and it involves shaping of critical areas, the construction of minor water management drains, rock lining of the drains, dams and diversion channels to manage water run-off from the area. It is based on a rate per hectare (based only on the hectares associated with the run-off management) and includes channel excavation, rock lining and minor dam construction.  (Operator may prefer to better define this activity)</v>
      </c>
      <c r="N34" s="233"/>
    </row>
    <row r="35" spans="1:15" ht="16.5" thickBot="1" x14ac:dyDescent="0.3">
      <c r="A35" s="293" t="s">
        <v>53</v>
      </c>
      <c r="B35" s="250" t="str">
        <f>A27</f>
        <v>Primary Earthworks and Shaping of the Pit</v>
      </c>
      <c r="C35" s="251"/>
      <c r="D35" s="252"/>
      <c r="E35" s="253"/>
      <c r="F35" s="252"/>
      <c r="G35" s="252"/>
      <c r="H35" s="252"/>
      <c r="I35" s="353"/>
      <c r="J35" s="354"/>
      <c r="K35" s="256">
        <f>SUM(K27:K34)</f>
        <v>0</v>
      </c>
      <c r="L35" s="252"/>
      <c r="M35" s="257"/>
      <c r="N35" s="233"/>
    </row>
    <row r="36" spans="1:15" ht="48" customHeight="1" thickBot="1" x14ac:dyDescent="0.3">
      <c r="A36" s="1333" t="s">
        <v>490</v>
      </c>
      <c r="B36" s="245" t="s">
        <v>70</v>
      </c>
      <c r="C36" s="259" t="str">
        <f>VLOOKUP($B36,Activities!$A$10:$P$152,3,FALSE)</f>
        <v>Sourcing, Carting and Spreading of Topsoil over an Area</v>
      </c>
      <c r="D36" s="239" t="s">
        <v>49</v>
      </c>
      <c r="E36" s="346"/>
      <c r="F36" s="246" t="str">
        <f>VLOOKUP($B36,Activities!$A$10:$P$152,4,FALSE)</f>
        <v>m3</v>
      </c>
      <c r="G36" s="313" t="s">
        <v>51</v>
      </c>
      <c r="H36" s="140" t="s">
        <v>264</v>
      </c>
      <c r="I36" s="272">
        <f>VLOOKUP(H36,U11:V15,2)</f>
        <v>0</v>
      </c>
      <c r="J36" s="351"/>
      <c r="K36" s="398">
        <f>IF(D36="Y",IF(J36="",I36*E36,J36*E36),"")</f>
        <v>0</v>
      </c>
      <c r="L36" s="248" t="str">
        <f>IFERROR(IF(D36="Y",K36/$K$54,0%),"0.0%")</f>
        <v>0.0%</v>
      </c>
      <c r="M36" s="290" t="str">
        <f>VLOOKUP($B36,Activities!$A$10:$S$152,19,FALSE)</f>
        <v>This activity covers the sourcing of topsoil or suitable growth medium, transporting from the source to the required area and then spreading it over that area.</v>
      </c>
      <c r="N36" s="233"/>
    </row>
    <row r="37" spans="1:15" ht="42" customHeight="1" thickBot="1" x14ac:dyDescent="0.3">
      <c r="A37" s="1334"/>
      <c r="B37" s="245" t="s">
        <v>21</v>
      </c>
      <c r="C37" s="259" t="str">
        <f>VLOOKUP($B37,Activities!$A$10:$P$152,3,FALSE)</f>
        <v>Scarification to promote vegetation growth</v>
      </c>
      <c r="D37" s="239" t="s">
        <v>49</v>
      </c>
      <c r="E37" s="320"/>
      <c r="F37" s="246" t="str">
        <f>VLOOKUP($B37,Activities!$A$10:$P$152,4,FALSE)</f>
        <v>Ha</v>
      </c>
      <c r="G37" s="1269"/>
      <c r="H37" s="1270"/>
      <c r="I37" s="273">
        <f>VLOOKUP($B37,Activities!$A$10:$S$152,16,FALSE)</f>
        <v>323.54530924221694</v>
      </c>
      <c r="J37" s="269"/>
      <c r="K37" s="388">
        <f t="shared" ref="K37:K46" si="6">IF(D37="Y",IF(J37="",I37*E37,J37*E37),0)</f>
        <v>0</v>
      </c>
      <c r="L37" s="248" t="str">
        <f t="shared" ref="L37:L46" si="7">IFERROR(IF(D37="Y",K37/$K$56,0%),"0.0%")</f>
        <v>0.0%</v>
      </c>
      <c r="M37" s="290" t="str">
        <f>VLOOKUP($B37,Activities!$A$10:$S$152,19,FALSE)</f>
        <v xml:space="preserve">This activity is undertaken in preparation for the seeding of a particular area.  </v>
      </c>
      <c r="N37" s="233"/>
    </row>
    <row r="38" spans="1:15" ht="42" customHeight="1" thickBot="1" x14ac:dyDescent="0.3">
      <c r="A38" s="1334"/>
      <c r="B38" s="245" t="s">
        <v>626</v>
      </c>
      <c r="C38" s="259" t="str">
        <f>VLOOKUP($B38,Activities!$A$10:$P$152,3,FALSE)</f>
        <v>Purchase and single application of ground ameliorants (e.g. gypsum)</v>
      </c>
      <c r="D38" s="239" t="s">
        <v>49</v>
      </c>
      <c r="E38" s="320"/>
      <c r="F38" s="246" t="str">
        <f>VLOOKUP($B38,Activities!$A$10:$P$152,4,FALSE)</f>
        <v>Ha</v>
      </c>
      <c r="G38" s="1269"/>
      <c r="H38" s="1270"/>
      <c r="I38" s="273">
        <f>VLOOKUP($B38,Activities!$A$10:$S$152,16,FALSE)</f>
        <v>877.38983538153695</v>
      </c>
      <c r="J38" s="269"/>
      <c r="K38" s="388">
        <f t="shared" si="6"/>
        <v>0</v>
      </c>
      <c r="L38" s="248" t="str">
        <f t="shared" si="7"/>
        <v>0.0%</v>
      </c>
      <c r="M38" s="290" t="str">
        <f>VLOOKUP($B38,Activities!$A$10:$S$152,19,FALSE)</f>
        <v>This Activity includes the purchase and single application of ground ameliorants (e.g. gypsum).</v>
      </c>
      <c r="N38" s="233"/>
    </row>
    <row r="39" spans="1:15" ht="42" customHeight="1" thickBot="1" x14ac:dyDescent="0.3">
      <c r="A39" s="1334"/>
      <c r="B39" s="245" t="s">
        <v>627</v>
      </c>
      <c r="C39" s="259" t="str">
        <f>VLOOKUP($B39,Activities!$A$10:$P$152,3,FALSE)</f>
        <v>The purchase only of non-native pasture grasses</v>
      </c>
      <c r="D39" s="239" t="s">
        <v>49</v>
      </c>
      <c r="E39" s="320"/>
      <c r="F39" s="246" t="str">
        <f>VLOOKUP($B39,Activities!$A$10:$P$152,4,FALSE)</f>
        <v>Ha</v>
      </c>
      <c r="G39" s="1269"/>
      <c r="H39" s="1270"/>
      <c r="I39" s="273">
        <f>VLOOKUP($B39,Activities!$A$10:$S$152,16,FALSE)</f>
        <v>1774.5180283018869</v>
      </c>
      <c r="J39" s="269"/>
      <c r="K39" s="388">
        <f t="shared" si="6"/>
        <v>0</v>
      </c>
      <c r="L39" s="248" t="str">
        <f t="shared" si="7"/>
        <v>0.0%</v>
      </c>
      <c r="M39" s="290" t="str">
        <f>VLOOKUP($B39,Activities!$A$10:$S$152,19,FALSE)</f>
        <v>This activity covers the purchase of non-native pasture grasses</v>
      </c>
      <c r="N39" s="233"/>
    </row>
    <row r="40" spans="1:15" ht="42" customHeight="1" thickBot="1" x14ac:dyDescent="0.3">
      <c r="A40" s="1334"/>
      <c r="B40" s="245" t="s">
        <v>628</v>
      </c>
      <c r="C40" s="259" t="str">
        <f>VLOOKUP($B40,Activities!$A$10:$P$152,3,FALSE)</f>
        <v>The purchase only of general native seed mix</v>
      </c>
      <c r="D40" s="239" t="s">
        <v>49</v>
      </c>
      <c r="E40" s="320"/>
      <c r="F40" s="246" t="str">
        <f>VLOOKUP($B40,Activities!$A$10:$P$152,4,FALSE)</f>
        <v>Ha</v>
      </c>
      <c r="G40" s="1269"/>
      <c r="H40" s="1270"/>
      <c r="I40" s="273">
        <f>VLOOKUP($B40,Activities!$A$10:$S$152,16,FALSE)</f>
        <v>3439.8717452830197</v>
      </c>
      <c r="J40" s="269"/>
      <c r="K40" s="388">
        <f t="shared" si="6"/>
        <v>0</v>
      </c>
      <c r="L40" s="248" t="str">
        <f t="shared" si="7"/>
        <v>0.0%</v>
      </c>
      <c r="M40" s="290" t="str">
        <f>VLOOKUP($B40,Activities!$A$10:$S$152,19,FALSE)</f>
        <v>This activity covers the purchase of general native seed mix</v>
      </c>
      <c r="N40" s="233"/>
    </row>
    <row r="41" spans="1:15" ht="42" customHeight="1" thickBot="1" x14ac:dyDescent="0.3">
      <c r="A41" s="1334"/>
      <c r="B41" s="245" t="s">
        <v>629</v>
      </c>
      <c r="C41" s="259" t="str">
        <f>VLOOKUP($B41,Activities!$A$10:$P$152,3,FALSE)</f>
        <v>The purchase only of local provenance native seed mix</v>
      </c>
      <c r="D41" s="239" t="s">
        <v>49</v>
      </c>
      <c r="E41" s="320"/>
      <c r="F41" s="246" t="str">
        <f>VLOOKUP($B41,Activities!$A$10:$P$152,4,FALSE)</f>
        <v>Ha</v>
      </c>
      <c r="G41" s="1269"/>
      <c r="H41" s="1270"/>
      <c r="I41" s="273">
        <f>VLOOKUP($B41,Activities!$A$10:$S$152,16,FALSE)</f>
        <v>10525.680933962265</v>
      </c>
      <c r="J41" s="269"/>
      <c r="K41" s="388">
        <f t="shared" si="6"/>
        <v>0</v>
      </c>
      <c r="L41" s="248" t="str">
        <f t="shared" si="7"/>
        <v>0.0%</v>
      </c>
      <c r="M41" s="290" t="str">
        <f>VLOOKUP($B41,Activities!$A$10:$S$152,19,FALSE)</f>
        <v>This activity covers the purchase of local provenance native seed mix</v>
      </c>
      <c r="N41" s="233"/>
    </row>
    <row r="42" spans="1:15" ht="42" customHeight="1" thickBot="1" x14ac:dyDescent="0.3">
      <c r="A42" s="1334"/>
      <c r="B42" s="245" t="s">
        <v>630</v>
      </c>
      <c r="C42" s="259" t="str">
        <f>VLOOKUP($B42,Activities!$A$10:$P$152,3,FALSE)</f>
        <v>The purchase only of fertiliser for broadcast application</v>
      </c>
      <c r="D42" s="239" t="s">
        <v>49</v>
      </c>
      <c r="E42" s="320"/>
      <c r="F42" s="246" t="str">
        <f>VLOOKUP($B42,Activities!$A$10:$P$152,4,FALSE)</f>
        <v>Ha</v>
      </c>
      <c r="G42" s="1269"/>
      <c r="H42" s="1270"/>
      <c r="I42" s="273">
        <f>VLOOKUP($B42,Activities!$A$10:$S$152,16,FALSE)</f>
        <v>613.30500000000006</v>
      </c>
      <c r="J42" s="269"/>
      <c r="K42" s="388">
        <f t="shared" si="6"/>
        <v>0</v>
      </c>
      <c r="L42" s="248" t="str">
        <f t="shared" si="7"/>
        <v>0.0%</v>
      </c>
      <c r="M42" s="290" t="str">
        <f>VLOOKUP($B42,Activities!$A$10:$S$152,19,FALSE)</f>
        <v>This activity covers the purchase of local fertiliser for broadcast application.  It does not inlcude the application.</v>
      </c>
      <c r="N42" s="233"/>
    </row>
    <row r="43" spans="1:15" ht="42" customHeight="1" thickBot="1" x14ac:dyDescent="0.3">
      <c r="A43" s="1334"/>
      <c r="B43" s="245" t="s">
        <v>631</v>
      </c>
      <c r="C43" s="259" t="str">
        <f>VLOOKUP($B43,Activities!$A$10:$P$152,3,FALSE)</f>
        <v>The purchase of native tubestock (including slow release fertiliser)</v>
      </c>
      <c r="D43" s="239" t="s">
        <v>49</v>
      </c>
      <c r="E43" s="320"/>
      <c r="F43" s="246" t="str">
        <f>VLOOKUP($B43,Activities!$A$10:$P$152,4,FALSE)</f>
        <v>Ha</v>
      </c>
      <c r="G43" s="1269"/>
      <c r="H43" s="1270"/>
      <c r="I43" s="273">
        <f>VLOOKUP($B43,Activities!$A$10:$S$152,16,FALSE)</f>
        <v>19729.952830188682</v>
      </c>
      <c r="J43" s="269"/>
      <c r="K43" s="388">
        <f t="shared" si="6"/>
        <v>0</v>
      </c>
      <c r="L43" s="248" t="str">
        <f t="shared" si="7"/>
        <v>0.0%</v>
      </c>
      <c r="M43" s="290" t="str">
        <f>VLOOKUP($B43,Activities!$A$10:$S$152,19,FALSE)</f>
        <v>The Activity includes the purchase of native tubestock (including slow release fertiliser).  It does not include planting.</v>
      </c>
      <c r="N43" s="233"/>
    </row>
    <row r="44" spans="1:15" ht="42" customHeight="1" thickBot="1" x14ac:dyDescent="0.3">
      <c r="A44" s="1334"/>
      <c r="B44" s="245" t="s">
        <v>632</v>
      </c>
      <c r="C44" s="259" t="str">
        <f>VLOOKUP($B44,Activities!$A$10:$P$152,3,FALSE)</f>
        <v>Direct seeding along rip line or mechanical broadcast seeding</v>
      </c>
      <c r="D44" s="239" t="s">
        <v>49</v>
      </c>
      <c r="E44" s="320"/>
      <c r="F44" s="246" t="str">
        <f>VLOOKUP($B44,Activities!$A$10:$P$152,4,FALSE)</f>
        <v>Ha</v>
      </c>
      <c r="G44" s="1269"/>
      <c r="H44" s="1270"/>
      <c r="I44" s="273">
        <f>VLOOKUP($B44,Activities!$A$10:$S$152,16,FALSE)</f>
        <v>2100.7838269402318</v>
      </c>
      <c r="J44" s="269"/>
      <c r="K44" s="388">
        <f t="shared" si="6"/>
        <v>0</v>
      </c>
      <c r="L44" s="248" t="str">
        <f t="shared" si="7"/>
        <v>0.0%</v>
      </c>
      <c r="M44" s="290" t="str">
        <f>VLOOKUP($B44,Activities!$A$10:$S$152,19,FALSE)</f>
        <v>Sowing of separately purchased seed and or fertiliser for broadcast application that involves scattering seed, by hand or mechanically, over a relatively large area.</v>
      </c>
      <c r="N44" s="233"/>
    </row>
    <row r="45" spans="1:15" ht="42" customHeight="1" thickBot="1" x14ac:dyDescent="0.3">
      <c r="A45" s="1334"/>
      <c r="B45" s="245" t="s">
        <v>633</v>
      </c>
      <c r="C45" s="259" t="str">
        <f>VLOOKUP($B45,Activities!$A$10:$P$152,3,FALSE)</f>
        <v>Hydromulching (does not include seed or fertiliser)</v>
      </c>
      <c r="D45" s="239" t="s">
        <v>49</v>
      </c>
      <c r="E45" s="240"/>
      <c r="F45" s="246" t="str">
        <f>VLOOKUP($B45,Activities!$A$10:$P$152,4,FALSE)</f>
        <v>Ha</v>
      </c>
      <c r="G45" s="1269"/>
      <c r="H45" s="1270"/>
      <c r="I45" s="273">
        <f>VLOOKUP($B45,Activities!$A$10:$S$152,16,FALSE)</f>
        <v>1583.2664818030244</v>
      </c>
      <c r="J45" s="269"/>
      <c r="K45" s="388">
        <f t="shared" si="6"/>
        <v>0</v>
      </c>
      <c r="L45" s="248" t="str">
        <f t="shared" si="7"/>
        <v>0.0%</v>
      </c>
      <c r="M45" s="290" t="str">
        <f>VLOOKUP($B45,Activities!$A$10:$S$152,19,FALSE)</f>
        <v>Hydromulching planting process that uses a slurry of seed and mulch. It is often used as an erosion control technique as an alternative to the traditional process of broadcasting or sowing dry seed.</v>
      </c>
      <c r="N45" s="233"/>
    </row>
    <row r="46" spans="1:15" ht="42" customHeight="1" thickBot="1" x14ac:dyDescent="0.3">
      <c r="A46" s="1334"/>
      <c r="B46" s="245" t="s">
        <v>717</v>
      </c>
      <c r="C46" s="259" t="str">
        <f>VLOOKUP($B46,Activities!$A$10:$P$152,3,FALSE)</f>
        <v>Planting of tubestock &lt;15cm (assumes 1,000 plants per hectare)</v>
      </c>
      <c r="D46" s="239" t="s">
        <v>49</v>
      </c>
      <c r="E46" s="240"/>
      <c r="F46" s="246" t="str">
        <f>VLOOKUP($B46,Activities!$A$10:$P$152,4,FALSE)</f>
        <v>Ha</v>
      </c>
      <c r="G46" s="1269"/>
      <c r="H46" s="1270"/>
      <c r="I46" s="273">
        <f>VLOOKUP($B46,Activities!$A$10:$S$152,16,FALSE)</f>
        <v>1714.118869047619</v>
      </c>
      <c r="J46" s="269"/>
      <c r="K46" s="388">
        <f t="shared" si="6"/>
        <v>0</v>
      </c>
      <c r="L46" s="248" t="str">
        <f t="shared" si="7"/>
        <v>0.0%</v>
      </c>
      <c r="M46" s="290" t="str">
        <f>VLOOKUP($B46,Activities!$A$10:$S$152,19,FALSE)</f>
        <v>This Activity covers the hand planting of tubestock plants across a broad area.</v>
      </c>
      <c r="N46" s="233"/>
    </row>
    <row r="47" spans="1:15" ht="15.75" customHeight="1" thickBot="1" x14ac:dyDescent="0.3">
      <c r="A47" s="293" t="s">
        <v>53</v>
      </c>
      <c r="B47" s="250" t="str">
        <f>A36</f>
        <v>Topsoil Preparation and Revegetation of the Area</v>
      </c>
      <c r="C47" s="251"/>
      <c r="D47" s="252"/>
      <c r="E47" s="253"/>
      <c r="F47" s="252"/>
      <c r="G47" s="252"/>
      <c r="H47" s="252"/>
      <c r="I47" s="353"/>
      <c r="J47" s="354"/>
      <c r="K47" s="256">
        <f>SUM(K36:K46)</f>
        <v>0</v>
      </c>
      <c r="L47" s="252"/>
      <c r="M47" s="257"/>
      <c r="N47" s="233"/>
    </row>
    <row r="48" spans="1:15" ht="96.75" thickBot="1" x14ac:dyDescent="0.3">
      <c r="A48" s="1333" t="s">
        <v>491</v>
      </c>
      <c r="B48" s="245" t="s">
        <v>451</v>
      </c>
      <c r="C48" s="259" t="str">
        <f>VLOOKUP($B48,Activities!$A$10:$P$152,3,FALSE)</f>
        <v>Construction of Water Diversion Channels/Drains</v>
      </c>
      <c r="D48" s="239" t="s">
        <v>49</v>
      </c>
      <c r="E48" s="240"/>
      <c r="F48" s="246" t="str">
        <f>VLOOKUP($B48,Activities!$A$10:$P$152,4,FALSE)</f>
        <v>lin m</v>
      </c>
      <c r="G48" s="1269"/>
      <c r="H48" s="1270"/>
      <c r="I48" s="272">
        <f>VLOOKUP($B48,Activities!$A$10:$S$152,16,FALSE)</f>
        <v>99.880946449499689</v>
      </c>
      <c r="J48" s="269"/>
      <c r="K48" s="388">
        <f t="shared" ref="K48" si="8">IF(D48="Y",IF(J48="",I48*E48,J48*E48),0)</f>
        <v>0</v>
      </c>
      <c r="L48" s="248" t="str">
        <f t="shared" ref="L48" si="9">IFERROR(IF(D48="Y",K48/$K$56,0%),"0.0%")</f>
        <v>0.0%</v>
      </c>
      <c r="M48" s="290" t="str">
        <f>VLOOKUP($B48,Activities!$A$10:$S$152,19,FALSE)</f>
        <v xml:space="preserve">The activity covers the occasions when it is necessary to construct a diversion channel to either divert water away from an area or to channel water from one area to another.  The assumption is that the level of water flowing through the channel is limited rather than a creek flow or major outflow.  Some allowance has been made for the incorporation of minor rock or velocity limiting structures but not major spillways or energy dissipaters. </v>
      </c>
      <c r="N48" s="233"/>
    </row>
    <row r="49" spans="1:14" ht="47.25" customHeight="1" thickBot="1" x14ac:dyDescent="0.3">
      <c r="A49" s="1334"/>
      <c r="B49" s="270"/>
      <c r="C49" s="218" t="s">
        <v>55</v>
      </c>
      <c r="D49" s="239" t="s">
        <v>49</v>
      </c>
      <c r="E49" s="346"/>
      <c r="F49" s="296"/>
      <c r="G49" s="1269"/>
      <c r="H49" s="1270"/>
      <c r="I49" s="355" t="s">
        <v>475</v>
      </c>
      <c r="J49" s="269"/>
      <c r="K49" s="390">
        <f>IF(D49="Y",J49*E49,"")</f>
        <v>0</v>
      </c>
      <c r="L49" s="248" t="str">
        <f>IFERROR(IF(D49="Y",K49/$K$54,0%),"0.0%")</f>
        <v>0.0%</v>
      </c>
      <c r="M49" s="139" t="s">
        <v>56</v>
      </c>
      <c r="N49" s="233"/>
    </row>
    <row r="50" spans="1:14" ht="47.25" customHeight="1" thickBot="1" x14ac:dyDescent="0.3">
      <c r="A50" s="1334"/>
      <c r="B50" s="270"/>
      <c r="C50" s="218" t="s">
        <v>55</v>
      </c>
      <c r="D50" s="239" t="s">
        <v>49</v>
      </c>
      <c r="E50" s="346"/>
      <c r="F50" s="296"/>
      <c r="G50" s="1269"/>
      <c r="H50" s="1270"/>
      <c r="I50" s="355" t="s">
        <v>475</v>
      </c>
      <c r="J50" s="269"/>
      <c r="K50" s="390">
        <f>IF(D50="Y",J50*E50,"")</f>
        <v>0</v>
      </c>
      <c r="L50" s="248" t="str">
        <f>IFERROR(IF(D50="Y",K50/$K$54,0%),"0.0%")</f>
        <v>0.0%</v>
      </c>
      <c r="M50" s="139" t="s">
        <v>56</v>
      </c>
      <c r="N50" s="233"/>
    </row>
    <row r="51" spans="1:14" ht="47.25" customHeight="1" thickBot="1" x14ac:dyDescent="0.3">
      <c r="A51" s="1335"/>
      <c r="B51" s="270"/>
      <c r="C51" s="218" t="s">
        <v>55</v>
      </c>
      <c r="D51" s="239" t="s">
        <v>49</v>
      </c>
      <c r="E51" s="346"/>
      <c r="F51" s="296"/>
      <c r="G51" s="1269"/>
      <c r="H51" s="1270"/>
      <c r="I51" s="355" t="s">
        <v>475</v>
      </c>
      <c r="J51" s="269"/>
      <c r="K51" s="390">
        <f>IF(D51="Y",J51*E51,"")</f>
        <v>0</v>
      </c>
      <c r="L51" s="248" t="str">
        <f>IFERROR(IF(D51="Y",K51/$K$54,0%),"0.0%")</f>
        <v>0.0%</v>
      </c>
      <c r="M51" s="139" t="s">
        <v>56</v>
      </c>
      <c r="N51" s="233"/>
    </row>
    <row r="52" spans="1:14" ht="15.75" thickBot="1" x14ac:dyDescent="0.3">
      <c r="A52" s="293" t="s">
        <v>53</v>
      </c>
      <c r="B52" s="250" t="str">
        <f>A48</f>
        <v>Other Activity that may be applicable to this area</v>
      </c>
      <c r="C52" s="251"/>
      <c r="D52" s="252"/>
      <c r="E52" s="253"/>
      <c r="F52" s="252"/>
      <c r="G52" s="252"/>
      <c r="H52" s="252"/>
      <c r="I52" s="254"/>
      <c r="J52" s="255"/>
      <c r="K52" s="256">
        <f>SUM(K48:K51)</f>
        <v>0</v>
      </c>
      <c r="L52" s="252"/>
      <c r="M52" s="257"/>
      <c r="N52" s="233"/>
    </row>
    <row r="53" spans="1:14" x14ac:dyDescent="0.25">
      <c r="A53" s="260"/>
      <c r="B53" s="260"/>
      <c r="C53" s="261"/>
      <c r="D53" s="262"/>
      <c r="E53" s="263"/>
      <c r="F53" s="262"/>
      <c r="G53" s="262"/>
      <c r="H53" s="262"/>
      <c r="I53" s="264"/>
      <c r="J53" s="265"/>
      <c r="K53" s="266"/>
      <c r="L53" s="262"/>
      <c r="M53" s="261"/>
      <c r="N53" s="233"/>
    </row>
    <row r="54" spans="1:14" ht="21" x14ac:dyDescent="0.25">
      <c r="A54" s="260"/>
      <c r="B54" s="260"/>
      <c r="C54" s="261"/>
      <c r="D54" s="262"/>
      <c r="E54" s="263"/>
      <c r="F54" s="262"/>
      <c r="G54" s="262"/>
      <c r="H54" s="262"/>
      <c r="I54" s="233"/>
      <c r="J54" s="267" t="s">
        <v>887</v>
      </c>
      <c r="K54" s="268">
        <f>K52+K47+K35+K26+K23</f>
        <v>0</v>
      </c>
      <c r="L54" s="262"/>
      <c r="M54" s="261"/>
      <c r="N54" s="233"/>
    </row>
    <row r="55" spans="1:14" x14ac:dyDescent="0.25">
      <c r="A55" s="260"/>
      <c r="B55" s="260"/>
      <c r="C55" s="261"/>
      <c r="D55" s="262"/>
      <c r="E55" s="263"/>
      <c r="F55" s="262"/>
      <c r="G55" s="262"/>
      <c r="H55" s="262"/>
      <c r="I55" s="264"/>
      <c r="J55" s="265"/>
      <c r="K55" s="266"/>
      <c r="L55" s="262"/>
      <c r="M55" s="261"/>
      <c r="N55" s="233"/>
    </row>
    <row r="56" spans="1:14" x14ac:dyDescent="0.25">
      <c r="A56" s="260"/>
      <c r="B56" s="260"/>
      <c r="C56" s="261"/>
      <c r="D56" s="262"/>
      <c r="E56" s="263"/>
      <c r="F56" s="262"/>
      <c r="G56" s="262"/>
      <c r="H56" s="262"/>
      <c r="I56" s="264"/>
      <c r="J56" s="265"/>
      <c r="K56" s="266"/>
      <c r="L56" s="262"/>
      <c r="M56" s="261"/>
      <c r="N56" s="233"/>
    </row>
    <row r="57" spans="1:14" x14ac:dyDescent="0.25">
      <c r="A57" s="260"/>
      <c r="B57" s="260"/>
      <c r="C57" s="261"/>
      <c r="D57" s="262"/>
      <c r="E57" s="263"/>
      <c r="F57" s="262"/>
      <c r="G57" s="262"/>
      <c r="H57" s="262"/>
      <c r="I57" s="264"/>
      <c r="J57" s="265"/>
      <c r="K57" s="266"/>
      <c r="L57" s="262"/>
      <c r="M57" s="261"/>
      <c r="N57" s="233"/>
    </row>
    <row r="58" spans="1:14" x14ac:dyDescent="0.25">
      <c r="A58" s="260"/>
      <c r="B58" s="260"/>
      <c r="C58" s="261"/>
      <c r="D58" s="262"/>
      <c r="E58" s="263"/>
      <c r="F58" s="262"/>
      <c r="G58" s="262"/>
      <c r="H58" s="262"/>
      <c r="I58" s="264"/>
      <c r="J58" s="265"/>
      <c r="K58" s="266"/>
      <c r="L58" s="262"/>
      <c r="M58" s="261"/>
      <c r="N58" s="233"/>
    </row>
    <row r="59" spans="1:14" x14ac:dyDescent="0.25">
      <c r="A59" s="3"/>
      <c r="B59" s="3"/>
      <c r="C59" s="30"/>
      <c r="D59" s="9"/>
      <c r="E59" s="31"/>
      <c r="F59" s="9"/>
      <c r="G59" s="9"/>
      <c r="H59" s="9"/>
      <c r="I59" s="32"/>
      <c r="J59" s="2"/>
      <c r="K59" s="77"/>
      <c r="L59" s="9"/>
      <c r="M59" s="30"/>
    </row>
    <row r="60" spans="1:14" x14ac:dyDescent="0.25">
      <c r="A60" s="3"/>
      <c r="B60" s="3"/>
      <c r="C60" s="30"/>
      <c r="D60" s="9"/>
      <c r="E60" s="31"/>
      <c r="F60" s="9"/>
      <c r="G60" s="9"/>
      <c r="H60" s="9"/>
      <c r="I60" s="32"/>
      <c r="J60" s="2"/>
      <c r="K60" s="77"/>
      <c r="L60" s="9"/>
      <c r="M60" s="30"/>
    </row>
    <row r="61" spans="1:14" x14ac:dyDescent="0.25">
      <c r="A61" s="3"/>
      <c r="B61" s="3"/>
      <c r="C61" s="30"/>
      <c r="D61" s="9"/>
      <c r="E61" s="31"/>
      <c r="F61" s="9"/>
      <c r="G61" s="9"/>
      <c r="H61" s="9"/>
      <c r="I61" s="32"/>
      <c r="J61" s="2"/>
      <c r="K61" s="77"/>
      <c r="L61" s="9"/>
      <c r="M61" s="30"/>
    </row>
    <row r="62" spans="1:14" x14ac:dyDescent="0.25">
      <c r="A62" s="3"/>
      <c r="B62" s="3"/>
      <c r="C62" s="30"/>
      <c r="D62" s="9"/>
      <c r="E62" s="31"/>
      <c r="F62" s="9"/>
      <c r="G62" s="9"/>
      <c r="H62" s="9"/>
      <c r="I62" s="32"/>
      <c r="J62" s="2"/>
      <c r="K62" s="77"/>
      <c r="L62" s="9"/>
      <c r="M62" s="30"/>
    </row>
    <row r="63" spans="1:14" x14ac:dyDescent="0.25">
      <c r="A63" s="3"/>
      <c r="B63" s="3"/>
      <c r="C63" s="30"/>
      <c r="D63" s="9"/>
      <c r="E63" s="31"/>
      <c r="F63" s="9"/>
      <c r="G63" s="9"/>
      <c r="H63" s="9"/>
      <c r="I63" s="32"/>
      <c r="J63" s="2"/>
      <c r="K63" s="77"/>
      <c r="L63" s="9"/>
      <c r="M63" s="30"/>
    </row>
    <row r="64" spans="1:14" x14ac:dyDescent="0.25">
      <c r="A64" s="3"/>
      <c r="B64" s="3"/>
      <c r="C64" s="30"/>
      <c r="D64" s="9"/>
      <c r="E64" s="31"/>
      <c r="F64" s="9"/>
      <c r="G64" s="9"/>
      <c r="H64" s="9"/>
      <c r="I64" s="32"/>
      <c r="J64" s="2"/>
      <c r="K64" s="77"/>
      <c r="L64" s="9"/>
      <c r="M64" s="30"/>
    </row>
    <row r="65" spans="1:13" x14ac:dyDescent="0.25">
      <c r="A65" s="3"/>
      <c r="B65" s="3"/>
      <c r="C65" s="30"/>
      <c r="D65" s="9"/>
      <c r="E65" s="31"/>
      <c r="F65" s="9"/>
      <c r="G65" s="9"/>
      <c r="H65" s="9"/>
      <c r="I65" s="32"/>
      <c r="J65" s="2"/>
      <c r="K65" s="77"/>
      <c r="L65" s="9"/>
      <c r="M65" s="30"/>
    </row>
    <row r="66" spans="1:13" x14ac:dyDescent="0.25">
      <c r="A66" s="3"/>
      <c r="B66" s="3"/>
      <c r="C66" s="30"/>
      <c r="D66" s="9"/>
      <c r="E66" s="9"/>
      <c r="F66" s="9"/>
      <c r="G66" s="9"/>
      <c r="H66" s="9"/>
      <c r="I66" s="32"/>
      <c r="J66" s="2"/>
      <c r="K66" s="77"/>
      <c r="L66" s="9"/>
      <c r="M66" s="30"/>
    </row>
    <row r="67" spans="1:13" x14ac:dyDescent="0.25">
      <c r="A67" s="3"/>
      <c r="B67" s="3"/>
      <c r="C67" s="30"/>
      <c r="D67" s="9"/>
      <c r="E67" s="9"/>
      <c r="F67" s="9"/>
      <c r="G67" s="9"/>
      <c r="H67" s="9"/>
      <c r="I67" s="32"/>
      <c r="J67" s="2"/>
      <c r="K67" s="77"/>
      <c r="L67" s="9"/>
      <c r="M67" s="30"/>
    </row>
    <row r="68" spans="1:13" x14ac:dyDescent="0.25">
      <c r="C68" s="30"/>
      <c r="D68" s="9"/>
      <c r="E68" s="9"/>
      <c r="F68" s="9"/>
      <c r="G68" s="9"/>
      <c r="H68" s="9"/>
      <c r="I68" s="32"/>
      <c r="J68" s="2"/>
      <c r="K68" s="9"/>
      <c r="L68" s="9"/>
      <c r="M68" s="30"/>
    </row>
    <row r="69" spans="1:13" x14ac:dyDescent="0.25">
      <c r="C69" s="30"/>
      <c r="D69" s="9"/>
      <c r="E69" s="9"/>
      <c r="F69" s="9"/>
      <c r="G69" s="9"/>
      <c r="H69" s="9"/>
      <c r="I69" s="32"/>
      <c r="J69" s="2"/>
      <c r="K69" s="9"/>
      <c r="L69" s="9"/>
      <c r="M69" s="30"/>
    </row>
    <row r="70" spans="1:13" x14ac:dyDescent="0.25">
      <c r="C70" s="30"/>
      <c r="D70" s="9"/>
      <c r="E70" s="9"/>
      <c r="F70" s="9"/>
      <c r="G70" s="9"/>
      <c r="H70" s="9"/>
      <c r="I70" s="9"/>
      <c r="J70" s="9"/>
      <c r="K70" s="9"/>
      <c r="L70" s="9"/>
      <c r="M70" s="30"/>
    </row>
    <row r="71" spans="1:13" x14ac:dyDescent="0.25">
      <c r="D71" s="9"/>
      <c r="E71" s="9"/>
      <c r="F71" s="9"/>
      <c r="G71" s="9"/>
      <c r="H71" s="9"/>
      <c r="I71" s="9"/>
      <c r="J71" s="9"/>
      <c r="K71" s="9"/>
      <c r="L71" s="9"/>
    </row>
    <row r="72" spans="1:13" x14ac:dyDescent="0.25">
      <c r="D72" s="9"/>
      <c r="E72" s="9"/>
      <c r="F72" s="9"/>
      <c r="G72" s="9"/>
      <c r="H72" s="9"/>
      <c r="I72" s="9"/>
      <c r="J72" s="9"/>
      <c r="K72" s="9"/>
      <c r="L72" s="9"/>
    </row>
    <row r="73" spans="1:13" x14ac:dyDescent="0.25">
      <c r="D73" s="9"/>
      <c r="E73" s="9"/>
      <c r="F73" s="9"/>
      <c r="G73" s="9"/>
      <c r="H73" s="9"/>
      <c r="I73" s="9"/>
      <c r="J73" s="9"/>
      <c r="K73" s="9"/>
      <c r="L73" s="9"/>
    </row>
    <row r="74" spans="1:13" x14ac:dyDescent="0.25">
      <c r="D74" s="9"/>
      <c r="E74" s="9"/>
      <c r="F74" s="9"/>
      <c r="G74" s="9"/>
      <c r="H74" s="9"/>
      <c r="I74" s="9"/>
      <c r="J74" s="9"/>
      <c r="K74" s="9"/>
      <c r="L74" s="9"/>
    </row>
    <row r="75" spans="1:13" x14ac:dyDescent="0.25">
      <c r="D75" s="9"/>
      <c r="E75" s="9"/>
      <c r="F75" s="9"/>
      <c r="G75" s="9"/>
      <c r="H75" s="9"/>
      <c r="I75" s="9"/>
      <c r="J75" s="9"/>
      <c r="K75" s="9"/>
      <c r="L75" s="9"/>
    </row>
    <row r="76" spans="1:13" x14ac:dyDescent="0.25">
      <c r="D76" s="9"/>
      <c r="E76" s="9"/>
      <c r="F76" s="9"/>
      <c r="G76" s="9"/>
      <c r="H76" s="9"/>
      <c r="I76" s="9"/>
      <c r="J76" s="9"/>
      <c r="K76" s="9"/>
      <c r="L76" s="9"/>
    </row>
    <row r="77" spans="1:13" x14ac:dyDescent="0.25">
      <c r="D77" s="9"/>
      <c r="E77" s="9"/>
      <c r="F77" s="9"/>
      <c r="G77" s="9"/>
      <c r="H77" s="9"/>
      <c r="I77" s="9"/>
      <c r="J77" s="9"/>
      <c r="K77" s="9"/>
      <c r="L77" s="9"/>
    </row>
    <row r="78" spans="1:13" x14ac:dyDescent="0.25">
      <c r="D78" s="9"/>
      <c r="E78" s="9"/>
      <c r="F78" s="9"/>
      <c r="G78" s="9"/>
      <c r="H78" s="9"/>
      <c r="I78" s="9"/>
      <c r="J78" s="9"/>
      <c r="K78" s="9"/>
      <c r="L78" s="9"/>
    </row>
    <row r="79" spans="1:13" x14ac:dyDescent="0.25">
      <c r="D79" s="9"/>
      <c r="E79" s="9"/>
      <c r="F79" s="9"/>
      <c r="G79" s="9"/>
      <c r="H79" s="9"/>
      <c r="I79" s="9"/>
      <c r="J79" s="9"/>
      <c r="K79" s="9"/>
      <c r="L79" s="9"/>
    </row>
    <row r="80" spans="1:13" x14ac:dyDescent="0.25">
      <c r="D80" s="9"/>
      <c r="E80" s="9"/>
      <c r="F80" s="9"/>
      <c r="G80" s="9"/>
      <c r="H80" s="9"/>
      <c r="I80" s="9"/>
      <c r="J80" s="9"/>
      <c r="K80" s="9"/>
      <c r="L80" s="9"/>
    </row>
    <row r="81" spans="4:12" x14ac:dyDescent="0.25">
      <c r="D81" s="9"/>
      <c r="E81" s="9"/>
      <c r="F81" s="9"/>
      <c r="G81" s="9"/>
      <c r="H81" s="9"/>
      <c r="I81" s="9"/>
      <c r="J81" s="9"/>
      <c r="K81" s="9"/>
      <c r="L81" s="9"/>
    </row>
    <row r="82" spans="4:12" x14ac:dyDescent="0.25">
      <c r="D82" s="9"/>
      <c r="E82" s="9"/>
      <c r="F82" s="9"/>
      <c r="G82" s="9"/>
      <c r="H82" s="9"/>
      <c r="I82" s="9"/>
      <c r="J82" s="9"/>
      <c r="K82" s="9"/>
      <c r="L82" s="9"/>
    </row>
  </sheetData>
  <sheetProtection algorithmName="SHA-512" hashValue="s28xXaVXaAY7CTw/KMe8lqluSwTLpcRAOPakSI/BDTi5Zsx13qjw12EuOF6BsKa661nO0HCgXlxN9xiQ++32Sg==" saltValue="wkdrlfvhq3oINcnwKwr+fA==" spinCount="100000" sheet="1" formatCells="0" formatRows="0" selectLockedCells="1"/>
  <mergeCells count="52">
    <mergeCell ref="A1:B1"/>
    <mergeCell ref="C1:E1"/>
    <mergeCell ref="F1:J3"/>
    <mergeCell ref="K1:L1"/>
    <mergeCell ref="C2:E2"/>
    <mergeCell ref="C3:E3"/>
    <mergeCell ref="A5:E6"/>
    <mergeCell ref="G5:J5"/>
    <mergeCell ref="G6:M7"/>
    <mergeCell ref="B7:E7"/>
    <mergeCell ref="B8:E8"/>
    <mergeCell ref="G8:M19"/>
    <mergeCell ref="B9:E9"/>
    <mergeCell ref="A15:B15"/>
    <mergeCell ref="C15:E15"/>
    <mergeCell ref="A16:E19"/>
    <mergeCell ref="B10:E10"/>
    <mergeCell ref="B11:E11"/>
    <mergeCell ref="B12:E12"/>
    <mergeCell ref="A14:B14"/>
    <mergeCell ref="C14:E14"/>
    <mergeCell ref="A24:A25"/>
    <mergeCell ref="G24:H24"/>
    <mergeCell ref="G25:H25"/>
    <mergeCell ref="A27:A34"/>
    <mergeCell ref="G27:H27"/>
    <mergeCell ref="G28:H28"/>
    <mergeCell ref="G29:H29"/>
    <mergeCell ref="G31:H31"/>
    <mergeCell ref="G32:H32"/>
    <mergeCell ref="G33:H33"/>
    <mergeCell ref="G34:H34"/>
    <mergeCell ref="A36:A46"/>
    <mergeCell ref="G37:H37"/>
    <mergeCell ref="G38:H38"/>
    <mergeCell ref="G39:H39"/>
    <mergeCell ref="G40:H40"/>
    <mergeCell ref="G44:H44"/>
    <mergeCell ref="G45:H45"/>
    <mergeCell ref="G46:H46"/>
    <mergeCell ref="R1:V1"/>
    <mergeCell ref="R9:V9"/>
    <mergeCell ref="G41:H41"/>
    <mergeCell ref="G42:H42"/>
    <mergeCell ref="G43:H43"/>
    <mergeCell ref="L20:M20"/>
    <mergeCell ref="G21:H21"/>
    <mergeCell ref="A48:A51"/>
    <mergeCell ref="G48:H48"/>
    <mergeCell ref="G49:H49"/>
    <mergeCell ref="G50:H50"/>
    <mergeCell ref="G51:H51"/>
  </mergeCells>
  <dataValidations count="3">
    <dataValidation type="list" allowBlank="1" showInputMessage="1" showErrorMessage="1" sqref="H22" xr:uid="{00000000-0002-0000-1800-000000000000}">
      <formula1>$X$2:$X$6</formula1>
    </dataValidation>
    <dataValidation type="list" allowBlank="1" showInputMessage="1" showErrorMessage="1" sqref="H30" xr:uid="{00000000-0002-0000-1800-000001000000}">
      <formula1>$U$3:$U$7</formula1>
    </dataValidation>
    <dataValidation type="list" allowBlank="1" showInputMessage="1" showErrorMessage="1" sqref="H36" xr:uid="{00000000-0002-0000-1800-000002000000}">
      <formula1>$U$11:$U$15</formula1>
    </dataValidation>
  </dataValidations>
  <pageMargins left="0.70866141732283472" right="0.70866141732283472" top="0.74803149606299213" bottom="0.74803149606299213" header="0.31496062992125984" footer="0.31496062992125984"/>
  <pageSetup paperSize="9" scale="53" fitToHeight="3" orientation="landscape" r:id="rId1"/>
  <headerFooter>
    <oddHeader>&amp;LDepartment for Energy and Mining&amp;C&amp;"Arial"&amp;12&amp;KA80000 OFFICIAL&amp;1#_x000D_</oddHeader>
    <oddFooter>&amp;L&amp;Z
&amp;F&amp;C&amp;P&amp;R&amp;D</oddFooter>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pageSetUpPr fitToPage="1"/>
  </sheetPr>
  <dimension ref="A1:V85"/>
  <sheetViews>
    <sheetView showGridLines="0" zoomScale="90" zoomScaleNormal="90" workbookViewId="0">
      <selection activeCell="G8" sqref="G8:M19"/>
    </sheetView>
  </sheetViews>
  <sheetFormatPr defaultRowHeight="15" x14ac:dyDescent="0.25"/>
  <cols>
    <col min="1" max="1" width="19.28515625" customWidth="1"/>
    <col min="2" max="2" width="11.5703125" style="56" customWidth="1"/>
    <col min="3" max="3" width="37.7109375" customWidth="1"/>
    <col min="4" max="4" width="13.5703125" customWidth="1"/>
    <col min="5" max="5" width="11" customWidth="1"/>
    <col min="7" max="7" width="21.5703125" customWidth="1"/>
    <col min="8" max="8" width="15" customWidth="1"/>
    <col min="9" max="9" width="12.28515625" customWidth="1"/>
    <col min="10" max="10" width="12.140625" customWidth="1"/>
    <col min="11" max="11" width="16.85546875" customWidth="1"/>
    <col min="12" max="12" width="13.5703125" customWidth="1"/>
    <col min="13" max="13" width="55.140625" customWidth="1"/>
    <col min="18" max="18" width="12.42578125" customWidth="1"/>
    <col min="19" max="19" width="47.5703125" bestFit="1" customWidth="1"/>
    <col min="20" max="22" width="12.42578125" customWidth="1"/>
  </cols>
  <sheetData>
    <row r="1" spans="1:13" ht="50.25" customHeight="1" x14ac:dyDescent="0.25">
      <c r="A1" s="1322" t="s">
        <v>530</v>
      </c>
      <c r="B1" s="1323"/>
      <c r="C1" s="1324" t="str">
        <f>'Summary Page'!E13</f>
        <v/>
      </c>
      <c r="D1" s="1325"/>
      <c r="E1" s="1326"/>
      <c r="F1" s="1360" t="s">
        <v>580</v>
      </c>
      <c r="G1" s="1285"/>
      <c r="H1" s="1285"/>
      <c r="I1" s="1285"/>
      <c r="J1" s="1286"/>
      <c r="K1" s="1295" t="s">
        <v>460</v>
      </c>
      <c r="L1" s="1295"/>
      <c r="M1" s="404"/>
    </row>
    <row r="2" spans="1:13" ht="21" x14ac:dyDescent="0.35">
      <c r="A2" s="368" t="s">
        <v>461</v>
      </c>
      <c r="B2" s="325">
        <v>13</v>
      </c>
      <c r="C2" s="1296" t="str">
        <f>'Summary Page'!E19</f>
        <v/>
      </c>
      <c r="D2" s="1297"/>
      <c r="E2" s="1348"/>
      <c r="F2" s="1287"/>
      <c r="G2" s="1288"/>
      <c r="H2" s="1288"/>
      <c r="I2" s="1288"/>
      <c r="J2" s="1289"/>
      <c r="K2" s="326"/>
      <c r="L2" s="327" t="s">
        <v>152</v>
      </c>
      <c r="M2" s="328">
        <f>K57</f>
        <v>0</v>
      </c>
    </row>
    <row r="3" spans="1:13" ht="27" customHeight="1" x14ac:dyDescent="0.25">
      <c r="A3" s="329" t="s">
        <v>267</v>
      </c>
      <c r="B3" s="477">
        <f>'Version Control'!B50</f>
        <v>7</v>
      </c>
      <c r="C3" s="1356"/>
      <c r="D3" s="1357"/>
      <c r="E3" s="1358"/>
      <c r="F3" s="1290"/>
      <c r="G3" s="1291"/>
      <c r="H3" s="1291"/>
      <c r="I3" s="1291"/>
      <c r="J3" s="1292"/>
      <c r="K3" s="331"/>
      <c r="L3" s="332" t="s">
        <v>462</v>
      </c>
      <c r="M3" s="333">
        <f>'Summary Page'!J73</f>
        <v>0</v>
      </c>
    </row>
    <row r="4" spans="1:13" ht="21" x14ac:dyDescent="0.25">
      <c r="A4" s="334" t="s">
        <v>463</v>
      </c>
      <c r="B4" s="478">
        <f>'Version Control'!A50</f>
        <v>45531</v>
      </c>
      <c r="C4" s="233"/>
      <c r="D4" s="233"/>
      <c r="E4" s="233"/>
      <c r="F4" s="233"/>
      <c r="G4" s="233"/>
      <c r="H4" s="233"/>
      <c r="I4" s="233"/>
      <c r="J4" s="233"/>
      <c r="K4" s="294"/>
      <c r="L4" s="336" t="s">
        <v>464</v>
      </c>
      <c r="M4" s="337" t="e">
        <f>M2/M3</f>
        <v>#DIV/0!</v>
      </c>
    </row>
    <row r="5" spans="1:13" ht="23.25" x14ac:dyDescent="0.25">
      <c r="A5" s="1349" t="s">
        <v>465</v>
      </c>
      <c r="B5" s="1298"/>
      <c r="C5" s="1298"/>
      <c r="D5" s="1298"/>
      <c r="E5" s="1299"/>
      <c r="F5" s="233"/>
      <c r="G5" s="1302" t="s">
        <v>466</v>
      </c>
      <c r="H5" s="1303"/>
      <c r="I5" s="1303"/>
      <c r="J5" s="1304"/>
      <c r="K5" s="233"/>
      <c r="L5" s="233"/>
      <c r="M5" s="233"/>
    </row>
    <row r="6" spans="1:13" ht="15" customHeight="1" x14ac:dyDescent="0.25">
      <c r="A6" s="1350"/>
      <c r="B6" s="1351"/>
      <c r="C6" s="1351"/>
      <c r="D6" s="1351"/>
      <c r="E6" s="1352"/>
      <c r="F6" s="299"/>
      <c r="G6" s="1305" t="s">
        <v>484</v>
      </c>
      <c r="H6" s="1306"/>
      <c r="I6" s="1306"/>
      <c r="J6" s="1306"/>
      <c r="K6" s="1306"/>
      <c r="L6" s="1306"/>
      <c r="M6" s="1307"/>
    </row>
    <row r="7" spans="1:13" ht="16.5" customHeight="1" x14ac:dyDescent="0.25">
      <c r="A7" s="348">
        <v>1</v>
      </c>
      <c r="B7" s="1353" t="s">
        <v>531</v>
      </c>
      <c r="C7" s="1354"/>
      <c r="D7" s="1354"/>
      <c r="E7" s="1355"/>
      <c r="F7" s="339"/>
      <c r="G7" s="1308"/>
      <c r="H7" s="1309"/>
      <c r="I7" s="1309"/>
      <c r="J7" s="1309"/>
      <c r="K7" s="1309"/>
      <c r="L7" s="1309"/>
      <c r="M7" s="1310"/>
    </row>
    <row r="8" spans="1:13" x14ac:dyDescent="0.25">
      <c r="A8" s="297">
        <v>2</v>
      </c>
      <c r="B8" s="1340" t="s">
        <v>579</v>
      </c>
      <c r="C8" s="1341"/>
      <c r="D8" s="1341"/>
      <c r="E8" s="1342"/>
      <c r="F8" s="339"/>
      <c r="G8" s="1137"/>
      <c r="H8" s="1138"/>
      <c r="I8" s="1138"/>
      <c r="J8" s="1138"/>
      <c r="K8" s="1138"/>
      <c r="L8" s="1138"/>
      <c r="M8" s="1139"/>
    </row>
    <row r="9" spans="1:13" x14ac:dyDescent="0.25">
      <c r="A9" s="297">
        <v>3</v>
      </c>
      <c r="B9" s="1343" t="s">
        <v>298</v>
      </c>
      <c r="C9" s="1344"/>
      <c r="D9" s="1344"/>
      <c r="E9" s="1345"/>
      <c r="F9" s="339"/>
      <c r="G9" s="1140"/>
      <c r="H9" s="1329"/>
      <c r="I9" s="1329"/>
      <c r="J9" s="1329"/>
      <c r="K9" s="1329"/>
      <c r="L9" s="1329"/>
      <c r="M9" s="1142"/>
    </row>
    <row r="10" spans="1:13" ht="15" customHeight="1" x14ac:dyDescent="0.25">
      <c r="A10" s="297">
        <v>4</v>
      </c>
      <c r="B10" s="1327" t="s">
        <v>581</v>
      </c>
      <c r="C10" s="1327"/>
      <c r="D10" s="1327"/>
      <c r="E10" s="1328"/>
      <c r="F10" s="339"/>
      <c r="G10" s="1140"/>
      <c r="H10" s="1329"/>
      <c r="I10" s="1329"/>
      <c r="J10" s="1329"/>
      <c r="K10" s="1329"/>
      <c r="L10" s="1329"/>
      <c r="M10" s="1142"/>
    </row>
    <row r="11" spans="1:13" x14ac:dyDescent="0.25">
      <c r="A11" s="297">
        <v>5</v>
      </c>
      <c r="B11" s="1330"/>
      <c r="C11" s="1331"/>
      <c r="D11" s="1331"/>
      <c r="E11" s="1332"/>
      <c r="F11" s="339"/>
      <c r="G11" s="1140"/>
      <c r="H11" s="1329"/>
      <c r="I11" s="1329"/>
      <c r="J11" s="1329"/>
      <c r="K11" s="1329"/>
      <c r="L11" s="1329"/>
      <c r="M11" s="1142"/>
    </row>
    <row r="12" spans="1:13" x14ac:dyDescent="0.25">
      <c r="A12" s="305">
        <v>6</v>
      </c>
      <c r="B12" s="1346"/>
      <c r="C12" s="1346"/>
      <c r="D12" s="1346"/>
      <c r="E12" s="1347"/>
      <c r="F12" s="233"/>
      <c r="G12" s="1140"/>
      <c r="H12" s="1329"/>
      <c r="I12" s="1329"/>
      <c r="J12" s="1329"/>
      <c r="K12" s="1329"/>
      <c r="L12" s="1329"/>
      <c r="M12" s="1142"/>
    </row>
    <row r="13" spans="1:13" ht="15" customHeight="1" x14ac:dyDescent="0.25">
      <c r="A13" s="340" t="s">
        <v>34</v>
      </c>
      <c r="B13" s="340"/>
      <c r="C13" s="233"/>
      <c r="D13" s="233"/>
      <c r="E13" s="233"/>
      <c r="F13" s="233"/>
      <c r="G13" s="1140"/>
      <c r="H13" s="1329"/>
      <c r="I13" s="1329"/>
      <c r="J13" s="1329"/>
      <c r="K13" s="1329"/>
      <c r="L13" s="1329"/>
      <c r="M13" s="1142"/>
    </row>
    <row r="14" spans="1:13" ht="15" customHeight="1" x14ac:dyDescent="0.25">
      <c r="A14" s="1276"/>
      <c r="B14" s="1277"/>
      <c r="C14" s="1278" t="s">
        <v>352</v>
      </c>
      <c r="D14" s="1278"/>
      <c r="E14" s="1279"/>
      <c r="F14" s="233"/>
      <c r="G14" s="1140"/>
      <c r="H14" s="1329"/>
      <c r="I14" s="1329"/>
      <c r="J14" s="1329"/>
      <c r="K14" s="1329"/>
      <c r="L14" s="1329"/>
      <c r="M14" s="1142"/>
    </row>
    <row r="15" spans="1:13" ht="15" customHeight="1" x14ac:dyDescent="0.25">
      <c r="A15" s="1201"/>
      <c r="B15" s="1202"/>
      <c r="C15" s="1280" t="s">
        <v>467</v>
      </c>
      <c r="D15" s="1280"/>
      <c r="E15" s="1281"/>
      <c r="F15" s="233"/>
      <c r="G15" s="1140"/>
      <c r="H15" s="1329"/>
      <c r="I15" s="1329"/>
      <c r="J15" s="1329"/>
      <c r="K15" s="1329"/>
      <c r="L15" s="1329"/>
      <c r="M15" s="1142"/>
    </row>
    <row r="16" spans="1:13" ht="15" customHeight="1" x14ac:dyDescent="0.25">
      <c r="A16" s="1284" t="s">
        <v>825</v>
      </c>
      <c r="B16" s="1285"/>
      <c r="C16" s="1285"/>
      <c r="D16" s="1285"/>
      <c r="E16" s="1286"/>
      <c r="F16" s="233"/>
      <c r="G16" s="1140"/>
      <c r="H16" s="1329"/>
      <c r="I16" s="1329"/>
      <c r="J16" s="1329"/>
      <c r="K16" s="1329"/>
      <c r="L16" s="1329"/>
      <c r="M16" s="1142"/>
    </row>
    <row r="17" spans="1:22" ht="15" customHeight="1" x14ac:dyDescent="0.25">
      <c r="A17" s="1287"/>
      <c r="B17" s="1288"/>
      <c r="C17" s="1288"/>
      <c r="D17" s="1288"/>
      <c r="E17" s="1289"/>
      <c r="F17" s="233"/>
      <c r="G17" s="1140"/>
      <c r="H17" s="1329"/>
      <c r="I17" s="1329"/>
      <c r="J17" s="1329"/>
      <c r="K17" s="1329"/>
      <c r="L17" s="1329"/>
      <c r="M17" s="1142"/>
    </row>
    <row r="18" spans="1:22" x14ac:dyDescent="0.25">
      <c r="A18" s="1287"/>
      <c r="B18" s="1288"/>
      <c r="C18" s="1288"/>
      <c r="D18" s="1288"/>
      <c r="E18" s="1289"/>
      <c r="F18" s="233"/>
      <c r="G18" s="1140"/>
      <c r="H18" s="1329"/>
      <c r="I18" s="1329"/>
      <c r="J18" s="1329"/>
      <c r="K18" s="1329"/>
      <c r="L18" s="1329"/>
      <c r="M18" s="1142"/>
    </row>
    <row r="19" spans="1:22" ht="15" customHeight="1" x14ac:dyDescent="0.25">
      <c r="A19" s="1290"/>
      <c r="B19" s="1291"/>
      <c r="C19" s="1291"/>
      <c r="D19" s="1291"/>
      <c r="E19" s="1292"/>
      <c r="F19" s="233"/>
      <c r="G19" s="1143"/>
      <c r="H19" s="1144"/>
      <c r="I19" s="1144"/>
      <c r="J19" s="1144"/>
      <c r="K19" s="1144"/>
      <c r="L19" s="1144"/>
      <c r="M19" s="1145"/>
    </row>
    <row r="20" spans="1:22" x14ac:dyDescent="0.25">
      <c r="A20" s="233"/>
      <c r="B20" s="340"/>
      <c r="C20" s="233"/>
      <c r="D20" s="366"/>
      <c r="E20" s="233"/>
      <c r="F20" s="233"/>
      <c r="G20" s="233"/>
      <c r="H20" s="233"/>
      <c r="I20" s="233"/>
      <c r="J20" s="219"/>
      <c r="K20" s="367"/>
      <c r="L20" s="1291"/>
      <c r="M20" s="1292"/>
    </row>
    <row r="21" spans="1:22" s="1" customFormat="1" ht="60.75" customHeight="1" thickBot="1" x14ac:dyDescent="0.3">
      <c r="A21" s="119" t="s">
        <v>39</v>
      </c>
      <c r="B21" s="120" t="s">
        <v>40</v>
      </c>
      <c r="C21" s="120" t="s">
        <v>479</v>
      </c>
      <c r="D21" s="311" t="s">
        <v>272</v>
      </c>
      <c r="E21" s="311" t="s">
        <v>43</v>
      </c>
      <c r="F21" s="120" t="s">
        <v>273</v>
      </c>
      <c r="G21" s="1212" t="s">
        <v>416</v>
      </c>
      <c r="H21" s="1212"/>
      <c r="I21" s="120" t="s">
        <v>45</v>
      </c>
      <c r="J21" s="312" t="s">
        <v>271</v>
      </c>
      <c r="K21" s="120" t="s">
        <v>47</v>
      </c>
      <c r="L21" s="120" t="s">
        <v>270</v>
      </c>
      <c r="M21" s="317" t="s">
        <v>415</v>
      </c>
      <c r="P21"/>
      <c r="Q21"/>
      <c r="R21"/>
      <c r="S21"/>
      <c r="T21"/>
      <c r="U21"/>
      <c r="V21"/>
    </row>
    <row r="22" spans="1:22" ht="60.75" thickBot="1" x14ac:dyDescent="0.3">
      <c r="A22" s="1362" t="s">
        <v>296</v>
      </c>
      <c r="B22" s="86" t="s">
        <v>274</v>
      </c>
      <c r="C22" s="259" t="str">
        <f>VLOOKUP($B22,Activities!$A$10:$P$152,3,FALSE)</f>
        <v>Disconnection and Termination of Main Electrical Power</v>
      </c>
      <c r="D22" s="239" t="s">
        <v>49</v>
      </c>
      <c r="E22" s="240"/>
      <c r="F22" s="246" t="str">
        <f>VLOOKUP($B22,Activities!$A$10:$P$152,4,FALSE)</f>
        <v>Item</v>
      </c>
      <c r="G22" s="1269"/>
      <c r="H22" s="1270"/>
      <c r="I22" s="273">
        <f>VLOOKUP($B22,Activities!$A$10:$S$152,16,FALSE)</f>
        <v>1799.7514892963404</v>
      </c>
      <c r="J22" s="269"/>
      <c r="K22" s="388">
        <f t="shared" ref="K22:K27" si="0">IF(D22="Y",IF(J22="",I22*E22,J22*E22),0)</f>
        <v>0</v>
      </c>
      <c r="L22" s="248" t="str">
        <f t="shared" ref="L22:L27" si="1">IFERROR(IF(D22="Y",K22/$K$58,0%),"0.0%")</f>
        <v>0.0%</v>
      </c>
      <c r="M22" s="290" t="str">
        <f>VLOOKUP($B22,Activities!$A$10:$S$152,19,FALSE)</f>
        <v>This activity covers the main disconnection of Electrical Power to a small site or in the case of a very large mine a significant portion of the site.  Rate is per power supply connection. Excludes removal. Excludes power to site. (It is not applicable to the disconnection of a building etc)</v>
      </c>
    </row>
    <row r="23" spans="1:22" ht="72.75" thickBot="1" x14ac:dyDescent="0.4">
      <c r="A23" s="1389"/>
      <c r="B23" s="86" t="s">
        <v>277</v>
      </c>
      <c r="C23" s="259" t="str">
        <f>VLOOKUP($B23,Activities!$A$10:$P$152,3,FALSE)</f>
        <v>Substations and Transformers - Demolish and Remove</v>
      </c>
      <c r="D23" s="239" t="s">
        <v>49</v>
      </c>
      <c r="E23" s="240"/>
      <c r="F23" s="246" t="str">
        <f>VLOOKUP($B23,Activities!$A$10:$P$152,4,FALSE)</f>
        <v>m2</v>
      </c>
      <c r="G23" s="1269"/>
      <c r="H23" s="1270"/>
      <c r="I23" s="272">
        <f>VLOOKUP($B23,Activities!$A$10:$S$152,16,FALSE)</f>
        <v>55.0427104972511</v>
      </c>
      <c r="J23" s="269"/>
      <c r="K23" s="388">
        <f t="shared" si="0"/>
        <v>0</v>
      </c>
      <c r="L23" s="248" t="str">
        <f t="shared" si="1"/>
        <v>0.0%</v>
      </c>
      <c r="M23" s="290" t="str">
        <f>VLOOKUP($B23,Activities!$A$10:$S$152,19,FALSE)</f>
        <v>This activity covers the main disconnection of Electrical Power to a small site or in the case of a very large mine a significant portion of the site.  (It is not applicable to the disconnection of a building etc)  The substation including buildings and pads are demolished and any item not salvageable is dumped on the mine site in a designated area.</v>
      </c>
      <c r="Q23" s="55"/>
    </row>
    <row r="24" spans="1:22" ht="72.75" thickBot="1" x14ac:dyDescent="0.3">
      <c r="A24" s="1389"/>
      <c r="B24" s="86" t="s">
        <v>279</v>
      </c>
      <c r="C24" s="259" t="str">
        <f>VLOOKUP($B24,Activities!$A$10:$P$152,3,FALSE)</f>
        <v xml:space="preserve">Removal of Underground Cables </v>
      </c>
      <c r="D24" s="239" t="s">
        <v>49</v>
      </c>
      <c r="E24" s="240"/>
      <c r="F24" s="246" t="str">
        <f>VLOOKUP($B24,Activities!$A$10:$P$152,4,FALSE)</f>
        <v>lin m</v>
      </c>
      <c r="G24" s="1269"/>
      <c r="H24" s="1270"/>
      <c r="I24" s="272">
        <f>VLOOKUP($B24,Activities!$A$10:$S$152,16,FALSE)</f>
        <v>32.813721301510533</v>
      </c>
      <c r="J24" s="269"/>
      <c r="K24" s="388">
        <f t="shared" si="0"/>
        <v>0</v>
      </c>
      <c r="L24" s="248" t="str">
        <f t="shared" si="1"/>
        <v>0.0%</v>
      </c>
      <c r="M24" s="290" t="str">
        <f>VLOOKUP($B24,Activities!$A$10:$S$152,19,FALSE)</f>
        <v>This activity covers the removal of underground electrical cables from a site.  Specifically cables from a sub-station to the plant, to the offices, etc are included in this activity.  It is based on digging up and pulling up the cables and loading onto a truck for disposal either off-site or on site.  It also includes making good the trench where the cables have been pulled.</v>
      </c>
      <c r="Q24" s="126"/>
      <c r="S24" s="126"/>
      <c r="T24" s="126"/>
    </row>
    <row r="25" spans="1:22" ht="62.25" customHeight="1" thickBot="1" x14ac:dyDescent="0.3">
      <c r="A25" s="1389"/>
      <c r="B25" s="86" t="s">
        <v>604</v>
      </c>
      <c r="C25" s="259" t="str">
        <f>VLOOKUP($B25,Activities!$A$10:$P$152,3,FALSE)</f>
        <v>Removal of low/medium voltage powerlines including disconnection</v>
      </c>
      <c r="D25" s="239" t="s">
        <v>49</v>
      </c>
      <c r="E25" s="240"/>
      <c r="F25" s="246" t="str">
        <f>VLOOKUP($B25,Activities!$A$10:$P$152,4,FALSE)</f>
        <v>km</v>
      </c>
      <c r="G25" s="1269"/>
      <c r="H25" s="1270"/>
      <c r="I25" s="273">
        <f>VLOOKUP($B25,Activities!$A$10:$S$152,16,FALSE)</f>
        <v>18422.585794094175</v>
      </c>
      <c r="J25" s="269"/>
      <c r="K25" s="388">
        <f t="shared" si="0"/>
        <v>0</v>
      </c>
      <c r="L25" s="248" t="str">
        <f t="shared" si="1"/>
        <v>0.0%</v>
      </c>
      <c r="M25" s="290" t="str">
        <f>VLOOKUP($B25,Activities!$A$10:$S$152,19,FALSE)</f>
        <v>Activity includes the removal of low/medium voltage powerlines including disconnection, rolling up the wires and removing the poles - Applies to power lines on stobie, concrete or similar poles.
Does not include the removal of substations</v>
      </c>
      <c r="S25" s="4"/>
      <c r="T25" s="4"/>
      <c r="V25" s="4"/>
    </row>
    <row r="26" spans="1:22" ht="63.75" thickBot="1" x14ac:dyDescent="0.3">
      <c r="A26" s="1389"/>
      <c r="B26" s="86" t="s">
        <v>606</v>
      </c>
      <c r="C26" s="259" t="str">
        <f>VLOOKUP($B26,Activities!$A$10:$P$152,3,FALSE)</f>
        <v>Removal of power lines on tower or lattice structures (this includes disconnection, rolling up the wires and removing the structures)</v>
      </c>
      <c r="D26" s="239" t="s">
        <v>49</v>
      </c>
      <c r="E26" s="240"/>
      <c r="F26" s="246" t="str">
        <f>VLOOKUP($B26,Activities!$A$10:$P$152,4,FALSE)</f>
        <v>Km</v>
      </c>
      <c r="G26" s="1269"/>
      <c r="H26" s="1270"/>
      <c r="I26" s="273">
        <f>VLOOKUP($B26,Activities!$A$10:$S$152,16,FALSE)</f>
        <v>122817.2386272945</v>
      </c>
      <c r="J26" s="269"/>
      <c r="K26" s="388">
        <f t="shared" si="0"/>
        <v>0</v>
      </c>
      <c r="L26" s="248" t="str">
        <f t="shared" si="1"/>
        <v>0.0%</v>
      </c>
      <c r="M26" s="290" t="str">
        <f>VLOOKUP($B26,Activities!$A$10:$S$152,19,FALSE)</f>
        <v>Removal of power lines on tower or lattice structures (this includes disconnection, rolling up the wires and removing the structures) - Applies to power lines on steel tower and steel lattice structures assuming 3 towers / km.
Does not include the removal of substations</v>
      </c>
      <c r="S26" s="4"/>
      <c r="T26" s="4"/>
      <c r="V26" s="4"/>
    </row>
    <row r="27" spans="1:22" ht="62.25" customHeight="1" thickBot="1" x14ac:dyDescent="0.3">
      <c r="A27" s="1390"/>
      <c r="B27" s="102" t="s">
        <v>252</v>
      </c>
      <c r="C27" s="259" t="str">
        <f>VLOOKUP($B27,Activities!$A$10:$P$152,3,FALSE)</f>
        <v>Demolition of Industrial and Other buildings and remove waste to designated dump on site.</v>
      </c>
      <c r="D27" s="239" t="s">
        <v>49</v>
      </c>
      <c r="E27" s="240"/>
      <c r="F27" s="246" t="str">
        <f>VLOOKUP($B27,Activities!$A$10:$P$152,4,FALSE)</f>
        <v>m2</v>
      </c>
      <c r="G27" s="1269"/>
      <c r="H27" s="1270"/>
      <c r="I27" s="272">
        <f>VLOOKUP($B27,Activities!$A$10:$S$152,16,FALSE)</f>
        <v>62.958526402902507</v>
      </c>
      <c r="J27" s="269"/>
      <c r="K27" s="388">
        <f t="shared" si="0"/>
        <v>0</v>
      </c>
      <c r="L27" s="248" t="str">
        <f t="shared" si="1"/>
        <v>0.0%</v>
      </c>
      <c r="M27" s="290" t="str">
        <f>VLOOKUP($B27,Activities!$A$10:$S$152,19,FALSE)</f>
        <v xml:space="preserve">This activity covers the demolition of industrial and other buildings (up to 5 levels) on the site that are not salvageable or removed from the site.  The buildings are demolished and transported to a designated dump on the mine site. </v>
      </c>
      <c r="S27" s="4"/>
      <c r="T27" s="4"/>
      <c r="V27" s="4"/>
    </row>
    <row r="28" spans="1:22" ht="15.75" thickBot="1" x14ac:dyDescent="0.3">
      <c r="A28" s="111" t="s">
        <v>53</v>
      </c>
      <c r="B28" s="112" t="str">
        <f>A22</f>
        <v>Power Infrastructure</v>
      </c>
      <c r="C28" s="103"/>
      <c r="D28" s="24"/>
      <c r="E28" s="25"/>
      <c r="F28" s="24"/>
      <c r="G28" s="24"/>
      <c r="H28" s="24"/>
      <c r="I28" s="26"/>
      <c r="J28" s="27"/>
      <c r="K28" s="28">
        <f>SUM(K22:K26)</f>
        <v>0</v>
      </c>
      <c r="L28" s="24"/>
      <c r="M28" s="43"/>
      <c r="S28" s="4"/>
      <c r="T28" s="4"/>
      <c r="V28" s="4"/>
    </row>
    <row r="29" spans="1:22" ht="63.75" thickBot="1" x14ac:dyDescent="0.3">
      <c r="A29" s="1132" t="s">
        <v>297</v>
      </c>
      <c r="B29" s="86" t="s">
        <v>616</v>
      </c>
      <c r="C29" s="259" t="str">
        <f>VLOOKUP($B29,Activities!$A$10:$P$152,3,FALSE)</f>
        <v>Disconnect and terminate services at remote areas  (i.e., pump stations, remote workshops, sewage treatment plant, etc.)</v>
      </c>
      <c r="D29" s="239" t="s">
        <v>49</v>
      </c>
      <c r="E29" s="240"/>
      <c r="F29" s="246" t="str">
        <f>VLOOKUP($B29,Activities!$A$10:$P$152,4,FALSE)</f>
        <v>Item</v>
      </c>
      <c r="G29" s="1269"/>
      <c r="H29" s="1270"/>
      <c r="I29" s="273">
        <f>VLOOKUP($B29,Activities!$A$10:$S$152,16,FALSE)</f>
        <v>7184.8084596967292</v>
      </c>
      <c r="J29" s="269"/>
      <c r="K29" s="388">
        <f t="shared" ref="K29:K40" si="2">IF(D29="Y",IF(J29="",I29*E29,J29*E29),0)</f>
        <v>0</v>
      </c>
      <c r="L29" s="248" t="str">
        <f t="shared" ref="L29:L39" si="3">IFERROR(IF(D29="Y",K29/$K$58,0%),"0.0%")</f>
        <v>0.0%</v>
      </c>
      <c r="M29" s="290" t="str">
        <f>VLOOKUP($B29,Activities!$A$10:$S$152,19,FALSE)</f>
        <v>For disconnection of all services, at building boundaries, physical cut at the point of attachment or distribution location.  If infrastructure is not consolidated (i.e., administration, camp and workshops are in separate places), consider multiple disconnection fees.</v>
      </c>
      <c r="S29" s="4"/>
      <c r="T29" s="4"/>
      <c r="V29" s="4"/>
    </row>
    <row r="30" spans="1:22" ht="64.5" customHeight="1" thickBot="1" x14ac:dyDescent="0.3">
      <c r="A30" s="1133"/>
      <c r="B30" s="86" t="s">
        <v>719</v>
      </c>
      <c r="C30" s="259" t="str">
        <f>VLOOKUP($B30,Activities!$A$10:$P$152,3,FALSE)</f>
        <v>Wastewater Treatment Plant (Tertiary Filtration System) - demolish and remove</v>
      </c>
      <c r="D30" s="239" t="s">
        <v>49</v>
      </c>
      <c r="E30" s="240"/>
      <c r="F30" s="246" t="str">
        <f>VLOOKUP($B30,Activities!$A$10:$P$152,4,FALSE)</f>
        <v>Ha</v>
      </c>
      <c r="G30" s="1269"/>
      <c r="H30" s="1270"/>
      <c r="I30" s="273">
        <f>VLOOKUP($B30,Activities!$A$10:$S$152,16,FALSE)</f>
        <v>12437.827324985241</v>
      </c>
      <c r="J30" s="269"/>
      <c r="K30" s="388">
        <f t="shared" ref="K30" si="4">IF(D30="Y",IF(J30="",I30*E30,J30*E30),0)</f>
        <v>0</v>
      </c>
      <c r="L30" s="248" t="str">
        <f t="shared" ref="L30" si="5">IFERROR(IF(D30="Y",K30/$K$58,0%),"0.0%")</f>
        <v>0.0%</v>
      </c>
      <c r="M30" s="290" t="str">
        <f>VLOOKUP($B30,Activities!$A$10:$S$152,19,FALSE)</f>
        <v>This activity is based on the type and capacity of the plant.  Rate is based on plant capacity in megalitres/day.  Includes the full demolition and removal to a designated dump on site.  8 modules to remove.</v>
      </c>
      <c r="S30" s="4"/>
      <c r="T30" s="4"/>
      <c r="V30" s="4"/>
    </row>
    <row r="31" spans="1:22" ht="69.75" customHeight="1" thickBot="1" x14ac:dyDescent="0.3">
      <c r="A31" s="1133"/>
      <c r="B31" s="86" t="s">
        <v>731</v>
      </c>
      <c r="C31" s="259" t="str">
        <f>VLOOKUP($B31,Activities!$A$10:$P$152,3,FALSE)</f>
        <v>Water Treatment Plant - RO desalination or ion exchanger system - demolish and remove - based on plant capacity in Mega Litres a Day</v>
      </c>
      <c r="D31" s="239" t="s">
        <v>49</v>
      </c>
      <c r="E31" s="240"/>
      <c r="F31" s="246" t="str">
        <f>VLOOKUP($B31,Activities!$A$10:$P$152,4,FALSE)</f>
        <v>MLD</v>
      </c>
      <c r="G31" s="1269"/>
      <c r="H31" s="1270"/>
      <c r="I31" s="273">
        <f>VLOOKUP($B31,Activities!$A$10:$S$152,16,FALSE)</f>
        <v>7609.2109368736865</v>
      </c>
      <c r="J31" s="269"/>
      <c r="K31" s="388">
        <f t="shared" si="2"/>
        <v>0</v>
      </c>
      <c r="L31" s="248" t="str">
        <f t="shared" si="3"/>
        <v>0.0%</v>
      </c>
      <c r="M31" s="290" t="str">
        <f>VLOOKUP($B31,Activities!$A$10:$S$152,19,FALSE)</f>
        <v>The activity is based on a RO type of water treatment plant.  Whilst there are a variety of water treatment plants, RO plants are more common and have been assessed as average in cost to demolish and remove.</v>
      </c>
    </row>
    <row r="32" spans="1:22" ht="63.75" thickBot="1" x14ac:dyDescent="0.3">
      <c r="A32" s="1133"/>
      <c r="B32" s="86" t="s">
        <v>732</v>
      </c>
      <c r="C32" s="259" t="str">
        <f>VLOOKUP($B32,Activities!$A$10:$P$152,3,FALSE)</f>
        <v xml:space="preserve">Wastewater Treatment Plant - anoxic and aeration tank (activated sludge process) - demolish and remove </v>
      </c>
      <c r="D32" s="239" t="s">
        <v>49</v>
      </c>
      <c r="E32" s="240"/>
      <c r="F32" s="246" t="str">
        <f>VLOOKUP($B32,Activities!$A$10:$P$152,4,FALSE)</f>
        <v>MLD</v>
      </c>
      <c r="G32" s="1269"/>
      <c r="H32" s="1270"/>
      <c r="I32" s="273">
        <f>VLOOKUP($B32,Activities!$A$10:$S$152,16,FALSE)</f>
        <v>23336.079446466923</v>
      </c>
      <c r="J32" s="269"/>
      <c r="K32" s="388">
        <f t="shared" ref="K32" si="6">IF(D32="Y",IF(J32="",I32*E32,J32*E32),0)</f>
        <v>0</v>
      </c>
      <c r="L32" s="248" t="str">
        <f t="shared" ref="L32" si="7">IFERROR(IF(D32="Y",K32/$K$58,0%),"0.0%")</f>
        <v>0.0%</v>
      </c>
      <c r="M32" s="290" t="str">
        <f>VLOOKUP($B32,Activities!$A$10:$S$152,19,FALSE)</f>
        <v>This activity is based on the type and capacity of the plant.  Rate is based on plant capacity in megalitres/day.  Includes the full demolition and removal to a designated dump on site.</v>
      </c>
    </row>
    <row r="33" spans="1:19" ht="72.75" thickBot="1" x14ac:dyDescent="0.3">
      <c r="A33" s="1133"/>
      <c r="B33" s="245" t="s">
        <v>405</v>
      </c>
      <c r="C33" s="259" t="str">
        <f>VLOOKUP($B33,Activities!$A$10:$P$152,3,FALSE)</f>
        <v>Removal of a dam liner and minor pipework to enable the reinstatement of a water dam or other storage facility.</v>
      </c>
      <c r="D33" s="239" t="s">
        <v>49</v>
      </c>
      <c r="E33" s="240"/>
      <c r="F33" s="246" t="str">
        <f>VLOOKUP($B33,Activities!$A$10:$P$152,4,FALSE)</f>
        <v>Item</v>
      </c>
      <c r="G33" s="1269"/>
      <c r="H33" s="1270"/>
      <c r="I33" s="273">
        <f>VLOOKUP($B33,Activities!$A$10:$S$152,16,FALSE)</f>
        <v>2413.2207421290032</v>
      </c>
      <c r="J33" s="269"/>
      <c r="K33" s="388">
        <f t="shared" si="2"/>
        <v>0</v>
      </c>
      <c r="L33" s="248" t="str">
        <f t="shared" si="3"/>
        <v>0.0%</v>
      </c>
      <c r="M33" s="290" t="str">
        <f>VLOOKUP($B33,Activities!$A$10:$S$152,19,FALSE)</f>
        <v>This activity involves the removal and tidying up of a water storage area prior to bulk movement of material to reinstate the area back to natural surface.  It also includes the removal of any pipes, pumps and other items associated with the use of the dam.  IT is assumed that the liner if present will be cut and folded onto itself in the centre of the dam so that the liner can be buried.</v>
      </c>
    </row>
    <row r="34" spans="1:19" ht="60.75" thickBot="1" x14ac:dyDescent="0.3">
      <c r="A34" s="1133"/>
      <c r="B34" s="245" t="s">
        <v>289</v>
      </c>
      <c r="C34" s="259" t="str">
        <f>VLOOKUP($B34,Activities!$A$10:$P$152,3,FALSE)</f>
        <v xml:space="preserve">Removal and demolition of Pump Station </v>
      </c>
      <c r="D34" s="239" t="s">
        <v>49</v>
      </c>
      <c r="E34" s="240"/>
      <c r="F34" s="246" t="str">
        <f>VLOOKUP($B34,Activities!$A$10:$P$152,4,FALSE)</f>
        <v>Item</v>
      </c>
      <c r="G34" s="1269"/>
      <c r="H34" s="1270"/>
      <c r="I34" s="273">
        <f>VLOOKUP($B34,Activities!$A$10:$S$152,16,FALSE)</f>
        <v>1580.3092850475025</v>
      </c>
      <c r="J34" s="269"/>
      <c r="K34" s="388">
        <f t="shared" si="2"/>
        <v>0</v>
      </c>
      <c r="L34" s="248" t="str">
        <f t="shared" si="3"/>
        <v>0.0%</v>
      </c>
      <c r="M34" s="290" t="str">
        <f>VLOOKUP($B34,Activities!$A$10:$S$152,19,FALSE)</f>
        <v>This activity involves the removal and demolition of an above ground pump station used in connection with a borefield and or wellhead injection system. ( It does not include the demolition of a substantial pumping structure or building which will need additional cost estimates)</v>
      </c>
    </row>
    <row r="35" spans="1:19" ht="72.75" thickBot="1" x14ac:dyDescent="0.3">
      <c r="A35" s="1133"/>
      <c r="B35" s="102" t="s">
        <v>233</v>
      </c>
      <c r="C35" s="259" t="str">
        <f>VLOOKUP($B35,Activities!$A$10:$P$152,3,FALSE)</f>
        <v>Demolish and Removal of Pipework - Plastic (Borefields, tailing facilities, etc)</v>
      </c>
      <c r="D35" s="239" t="s">
        <v>49</v>
      </c>
      <c r="E35" s="240"/>
      <c r="F35" s="246" t="str">
        <f>VLOOKUP($B35,Activities!$A$10:$P$152,4,FALSE)</f>
        <v>m</v>
      </c>
      <c r="G35" s="1269"/>
      <c r="H35" s="1270"/>
      <c r="I35" s="272">
        <f>VLOOKUP($B35,Activities!$A$10:$S$152,16,FALSE)</f>
        <v>13.119651535666517</v>
      </c>
      <c r="J35" s="269"/>
      <c r="K35" s="388">
        <f t="shared" si="2"/>
        <v>0</v>
      </c>
      <c r="L35" s="248" t="str">
        <f t="shared" si="3"/>
        <v>0.0%</v>
      </c>
      <c r="M35" s="290" t="str">
        <f>VLOOKUP($B35,Activities!$A$10:$S$152,19,FALSE)</f>
        <v>The activity consists of removing all pipework within the area and disposing of this pipework in an approved dump on the site.  The pipework should be cut up or shredded.  The activity assumes that the pipe is &lt;200mm and is plastic in nature.  If the pipe is very large or steel a separate demolition price should be prepared.  It does not inlcude pipework within a process plant.</v>
      </c>
    </row>
    <row r="36" spans="1:19" ht="60.75" thickBot="1" x14ac:dyDescent="0.3">
      <c r="A36" s="1133"/>
      <c r="B36" s="102" t="s">
        <v>434</v>
      </c>
      <c r="C36" s="259" t="str">
        <f>VLOOKUP($B36,Activities!$A$10:$P$152,3,FALSE)</f>
        <v>Removal and Disposal of Major Trunk Pipelines</v>
      </c>
      <c r="D36" s="239" t="s">
        <v>49</v>
      </c>
      <c r="E36" s="240"/>
      <c r="F36" s="246" t="str">
        <f>VLOOKUP($B36,Activities!$A$10:$P$152,4,FALSE)</f>
        <v>m</v>
      </c>
      <c r="G36" s="1269"/>
      <c r="H36" s="1270"/>
      <c r="I36" s="272">
        <f>VLOOKUP($B36,Activities!$A$10:$S$152,16,FALSE)</f>
        <v>32.467068764228138</v>
      </c>
      <c r="J36" s="269"/>
      <c r="K36" s="388">
        <f t="shared" si="2"/>
        <v>0</v>
      </c>
      <c r="L36" s="248" t="str">
        <f t="shared" si="3"/>
        <v>0.0%</v>
      </c>
      <c r="M36" s="290" t="str">
        <f>VLOOKUP($B36,Activities!$A$10:$S$152,19,FALSE)</f>
        <v>The activity relates specifically to the removal and disposal of trunk pipelines assumed to be plastic in nature but greater than 200 mm in diameter.   The pipework should be cut up or shredded.   If the pipe is very large or steel a separate demolition price should be prepared.  It does not inlcude pipework within a process plant.</v>
      </c>
    </row>
    <row r="37" spans="1:19" ht="48.75" thickBot="1" x14ac:dyDescent="0.3">
      <c r="A37" s="1133"/>
      <c r="B37" s="102" t="s">
        <v>283</v>
      </c>
      <c r="C37" s="259" t="str">
        <f>VLOOKUP($B37,Activities!$A$10:$P$152,3,FALSE)</f>
        <v>Demolition and Removal of Water Tanks (Metal or Concrete)</v>
      </c>
      <c r="D37" s="239" t="s">
        <v>49</v>
      </c>
      <c r="E37" s="240"/>
      <c r="F37" s="246" t="str">
        <f>VLOOKUP($B37,Activities!$A$10:$P$152,4,FALSE)</f>
        <v>m2</v>
      </c>
      <c r="G37" s="1269"/>
      <c r="H37" s="1270"/>
      <c r="I37" s="273">
        <f>VLOOKUP($B37,Activities!$A$10:$S$152,16,FALSE)</f>
        <v>298.27766728339105</v>
      </c>
      <c r="J37" s="269"/>
      <c r="K37" s="388">
        <f t="shared" si="2"/>
        <v>0</v>
      </c>
      <c r="L37" s="248" t="str">
        <f t="shared" si="3"/>
        <v>0.0%</v>
      </c>
      <c r="M37" s="290" t="str">
        <f>VLOOKUP($B37,Activities!$A$10:$S$152,19,FALSE)</f>
        <v xml:space="preserve">This activity covers the demolition and removal of tanks used in either the fresh or waste water treatment plants.  Rate assumes already decommissioned (drained and cleaned ready for demolition). </v>
      </c>
      <c r="O37" s="47"/>
      <c r="P37" s="47"/>
      <c r="Q37" s="47"/>
      <c r="R37" s="47"/>
      <c r="S37" s="47"/>
    </row>
    <row r="38" spans="1:19" ht="48.75" thickBot="1" x14ac:dyDescent="0.3">
      <c r="A38" s="1133"/>
      <c r="B38" s="102" t="s">
        <v>232</v>
      </c>
      <c r="C38" s="259" t="str">
        <f>VLOOKUP($B38,Activities!$A$10:$P$152,3,FALSE)</f>
        <v>Demolish heavy duty concrete structures, crusher and other equipment footings</v>
      </c>
      <c r="D38" s="239" t="s">
        <v>49</v>
      </c>
      <c r="E38" s="240"/>
      <c r="F38" s="246" t="str">
        <f>VLOOKUP($B38,Activities!$A$10:$P$152,4,FALSE)</f>
        <v>m2</v>
      </c>
      <c r="G38" s="1269"/>
      <c r="H38" s="1270"/>
      <c r="I38" s="273">
        <f>VLOOKUP($B38,Activities!$A$10:$S$152,16,FALSE)</f>
        <v>325.92646713928127</v>
      </c>
      <c r="J38" s="269"/>
      <c r="K38" s="388">
        <f t="shared" si="2"/>
        <v>0</v>
      </c>
      <c r="L38" s="248" t="str">
        <f t="shared" si="3"/>
        <v>0.0%</v>
      </c>
      <c r="M38" s="290" t="str">
        <f>VLOOKUP($B38,Activities!$A$10:$S$152,19,FALSE)</f>
        <v xml:space="preserve">The activity include the demolition and removal of the the heavy duty concrete footings and bases used for the support of major items of plant and equipment primarily around the processing plant.  </v>
      </c>
      <c r="P38" s="47"/>
      <c r="Q38" s="47"/>
      <c r="R38" s="47"/>
      <c r="S38" s="47"/>
    </row>
    <row r="39" spans="1:19" ht="48.75" customHeight="1" thickBot="1" x14ac:dyDescent="0.3">
      <c r="A39" s="1133"/>
      <c r="B39" s="475" t="s">
        <v>79</v>
      </c>
      <c r="C39" s="259" t="str">
        <f>VLOOKUP($B39,Activities!$A$10:$P$152,3,FALSE)</f>
        <v>Minor Shaping across a Dump or Disturbed Area</v>
      </c>
      <c r="D39" s="239" t="s">
        <v>49</v>
      </c>
      <c r="E39" s="240"/>
      <c r="F39" s="246" t="str">
        <f>VLOOKUP($B39,Activities!$A$10:$P$152,4,FALSE)</f>
        <v>Ha</v>
      </c>
      <c r="G39" s="1269"/>
      <c r="H39" s="1270"/>
      <c r="I39" s="273">
        <f>VLOOKUP($B39,Activities!$A$10:$S$152,16,FALSE)</f>
        <v>2987.2221197728068</v>
      </c>
      <c r="J39" s="269"/>
      <c r="K39" s="388">
        <f t="shared" ref="K39" si="8">IF(D39="Y",IF(J39="",I39*E39,J39*E39),0)</f>
        <v>0</v>
      </c>
      <c r="L39" s="248" t="str">
        <f t="shared" si="3"/>
        <v>0.0%</v>
      </c>
      <c r="M39" s="290" t="str">
        <f>VLOOKUP($B39,Activities!$A$10:$S$152,19,FALSE)</f>
        <v xml:space="preserve">This activity covers minor shaping shifting pushing across a dump or disturbed area.  It is based on a rate per hectare.  It covers area where there needs to be some clearing work, tidying up of disturbed ground,  but not just bulk pushing </v>
      </c>
    </row>
    <row r="40" spans="1:19" ht="50.25" customHeight="1" thickBot="1" x14ac:dyDescent="0.3">
      <c r="A40" s="536"/>
      <c r="B40" s="245" t="s">
        <v>21</v>
      </c>
      <c r="C40" s="259" t="str">
        <f>VLOOKUP($B40,Activities!$A$10:$P$152,3,FALSE)</f>
        <v>Scarification to promote vegetation growth</v>
      </c>
      <c r="D40" s="239" t="s">
        <v>49</v>
      </c>
      <c r="E40" s="607"/>
      <c r="F40" s="246" t="str">
        <f>VLOOKUP($B40,Activities!$A$10:$P$152,4,FALSE)</f>
        <v>Ha</v>
      </c>
      <c r="G40" s="1269"/>
      <c r="H40" s="1270"/>
      <c r="I40" s="272">
        <f>Activities!P18</f>
        <v>323.54530924221694</v>
      </c>
      <c r="J40" s="269"/>
      <c r="K40" s="388">
        <f t="shared" si="2"/>
        <v>0</v>
      </c>
      <c r="L40" s="248" t="str">
        <f>IFERROR(IF(D40="Y",K40/$K$60,0%),"0.0%")</f>
        <v>0.0%</v>
      </c>
      <c r="M40" s="290" t="str">
        <f>VLOOKUP($B40,Activities!$A$10:$S$152,19,FALSE)</f>
        <v xml:space="preserve">This activity is undertaken in preparation for the seeding of a particular area.  </v>
      </c>
    </row>
    <row r="41" spans="1:19" ht="15.75" thickBot="1" x14ac:dyDescent="0.3">
      <c r="A41" s="111" t="s">
        <v>53</v>
      </c>
      <c r="B41" s="112" t="str">
        <f>A29</f>
        <v>Water and Sewage Infrastructure</v>
      </c>
      <c r="C41" s="103"/>
      <c r="D41" s="24"/>
      <c r="E41" s="25"/>
      <c r="F41" s="24"/>
      <c r="G41" s="24"/>
      <c r="H41" s="24"/>
      <c r="I41" s="26"/>
      <c r="J41" s="27"/>
      <c r="K41" s="28">
        <f>SUM(K29:K39)</f>
        <v>0</v>
      </c>
      <c r="L41" s="24"/>
      <c r="M41" s="43"/>
    </row>
    <row r="42" spans="1:19" ht="48.75" thickBot="1" x14ac:dyDescent="0.3">
      <c r="A42" s="1132" t="s">
        <v>429</v>
      </c>
      <c r="B42" s="102" t="s">
        <v>228</v>
      </c>
      <c r="C42" s="259" t="str">
        <f>VLOOKUP($B42,Activities!$A$10:$P$152,3,FALSE)</f>
        <v>Disconnection of Services to Area</v>
      </c>
      <c r="D42" s="239" t="s">
        <v>49</v>
      </c>
      <c r="E42" s="240"/>
      <c r="F42" s="246" t="str">
        <f>VLOOKUP($B42,Activities!$A$10:$P$152,4,FALSE)</f>
        <v>Item</v>
      </c>
      <c r="G42" s="1269"/>
      <c r="H42" s="1270"/>
      <c r="I42" s="273">
        <f>VLOOKUP($B42,Activities!$A$10:$S$152,16,FALSE)</f>
        <v>3678.6008957627482</v>
      </c>
      <c r="J42" s="269"/>
      <c r="K42" s="388">
        <f t="shared" ref="K42:K44" si="9">IF(D42="Y",IF(J42="",I42*E42,J42*E42),0)</f>
        <v>0</v>
      </c>
      <c r="L42" s="248" t="str">
        <f t="shared" ref="L42:L44" si="10">IFERROR(IF(D42="Y",K42/$K$58,0%),"0.0%")</f>
        <v>0.0%</v>
      </c>
      <c r="M42" s="290" t="str">
        <f>VLOOKUP($B42,Activities!$A$10:$S$152,19,FALSE)</f>
        <v>This Activity includes disconnecting and terminating all services such as power, water and sewer.  It covers the disconnection costs for an area.  Within a mine site there may be a number of areas which need to have services disconnected.</v>
      </c>
    </row>
    <row r="43" spans="1:19" ht="72.75" thickBot="1" x14ac:dyDescent="0.3">
      <c r="A43" s="1133"/>
      <c r="B43" s="102" t="s">
        <v>233</v>
      </c>
      <c r="C43" s="259" t="str">
        <f>VLOOKUP($B43,Activities!$A$10:$P$152,3,FALSE)</f>
        <v>Demolish and Removal of Pipework - Plastic (Borefields, tailing facilities, etc)</v>
      </c>
      <c r="D43" s="239" t="s">
        <v>49</v>
      </c>
      <c r="E43" s="240"/>
      <c r="F43" s="246" t="str">
        <f>VLOOKUP($B43,Activities!$A$10:$P$152,4,FALSE)</f>
        <v>m</v>
      </c>
      <c r="G43" s="1269"/>
      <c r="H43" s="1270"/>
      <c r="I43" s="272">
        <f>VLOOKUP($B43,Activities!$A$10:$S$152,16,FALSE)</f>
        <v>13.119651535666517</v>
      </c>
      <c r="J43" s="269"/>
      <c r="K43" s="388">
        <f t="shared" si="9"/>
        <v>0</v>
      </c>
      <c r="L43" s="248" t="str">
        <f t="shared" si="10"/>
        <v>0.0%</v>
      </c>
      <c r="M43" s="290" t="str">
        <f>VLOOKUP($B43,Activities!$A$10:$S$152,19,FALSE)</f>
        <v>The activity consists of removing all pipework within the area and disposing of this pipework in an approved dump on the site.  The pipework should be cut up or shredded.  The activity assumes that the pipe is &lt;200mm and is plastic in nature.  If the pipe is very large or steel a separate demolition price should be prepared.  It does not inlcude pipework within a process plant.</v>
      </c>
    </row>
    <row r="44" spans="1:19" ht="60.75" thickBot="1" x14ac:dyDescent="0.3">
      <c r="A44" s="1133"/>
      <c r="B44" s="102" t="s">
        <v>287</v>
      </c>
      <c r="C44" s="259" t="str">
        <f>VLOOKUP($B44,Activities!$A$10:$P$152,3,FALSE)</f>
        <v>Removal of submersible pumps (and/or Injection piping) from a bore</v>
      </c>
      <c r="D44" s="239" t="s">
        <v>49</v>
      </c>
      <c r="E44" s="240"/>
      <c r="F44" s="246" t="str">
        <f>VLOOKUP($B44,Activities!$A$10:$P$152,4,FALSE)</f>
        <v>Item</v>
      </c>
      <c r="G44" s="1269"/>
      <c r="H44" s="1270"/>
      <c r="I44" s="273">
        <f>VLOOKUP($B44,Activities!$A$10:$S$152,16,FALSE)</f>
        <v>984.19319545240057</v>
      </c>
      <c r="J44" s="269"/>
      <c r="K44" s="388">
        <f t="shared" si="9"/>
        <v>0</v>
      </c>
      <c r="L44" s="248" t="str">
        <f t="shared" si="10"/>
        <v>0.0%</v>
      </c>
      <c r="M44" s="290" t="str">
        <f>VLOOKUP($B44,Activities!$A$10:$S$152,19,FALSE)</f>
        <v>This activity covers the removal of a submersible pump from a bore including the attached downhole piping and can be applied to any bore hole that has specific downhole injection equipment.  The activity makes an allowance for the removal of the power cable from the bore to any well housing.</v>
      </c>
    </row>
    <row r="45" spans="1:19" ht="45.75" thickBot="1" x14ac:dyDescent="0.3">
      <c r="A45" s="1133"/>
      <c r="B45" s="102" t="s">
        <v>288</v>
      </c>
      <c r="C45" s="259" t="str">
        <f>VLOOKUP($B45,Activities!$A$10:$P$152,3,FALSE)</f>
        <v>Sealing and Plugging of a Well or Bore using Grout or Concrete</v>
      </c>
      <c r="D45" s="239" t="s">
        <v>49</v>
      </c>
      <c r="E45" s="240"/>
      <c r="F45" s="246" t="str">
        <f>VLOOKUP($B45,Activities!$A$10:$P$152,4,FALSE)</f>
        <v>No. of</v>
      </c>
      <c r="G45" s="319" t="s">
        <v>430</v>
      </c>
      <c r="H45" s="168"/>
      <c r="I45" s="272">
        <f>VLOOKUP($B45,Activities!$A$10:$S$152,16,FALSE)</f>
        <v>19.984441461889428</v>
      </c>
      <c r="J45" s="269"/>
      <c r="K45" s="387">
        <f>IF(D45="Y",IF(J45="",I45*E45*H45,J45*E45*H45),"")</f>
        <v>0</v>
      </c>
      <c r="L45" s="145" t="str">
        <f t="shared" ref="L45" si="11">IFERROR(IF(D45="Y",K45/$K$57,0%),"0.0%")</f>
        <v>0.0%</v>
      </c>
      <c r="M45" s="290" t="str">
        <f>VLOOKUP($B45,Activities!$A$10:$S$152,19,FALSE)</f>
        <v xml:space="preserve">This activiity covers the sealing of a bore or a well using a grout.  The assumpiton is that the bore or well is fully grouted to ensure that it is fully sealed. </v>
      </c>
    </row>
    <row r="46" spans="1:19" ht="60.75" thickBot="1" x14ac:dyDescent="0.3">
      <c r="A46" s="1133"/>
      <c r="B46" s="102" t="s">
        <v>426</v>
      </c>
      <c r="C46" s="259" t="str">
        <f>VLOOKUP($B46,Activities!$A$10:$P$152,3,FALSE)</f>
        <v>Removal of well head, cutting the casing and backfilling the area</v>
      </c>
      <c r="D46" s="239" t="s">
        <v>49</v>
      </c>
      <c r="E46" s="240"/>
      <c r="F46" s="246" t="str">
        <f>VLOOKUP($B46,Activities!$A$10:$P$152,4,FALSE)</f>
        <v>Item</v>
      </c>
      <c r="G46" s="1269"/>
      <c r="H46" s="1270"/>
      <c r="I46" s="273">
        <f>VLOOKUP($B46,Activities!$A$10:$S$152,16,FALSE)</f>
        <v>274.52042316806541</v>
      </c>
      <c r="J46" s="269"/>
      <c r="K46" s="388">
        <f t="shared" ref="K46:K50" si="12">IF(D46="Y",IF(J46="",I46*E46,J46*E46),0)</f>
        <v>0</v>
      </c>
      <c r="L46" s="248" t="str">
        <f t="shared" ref="L46:L50" si="13">IFERROR(IF(D46="Y",K46/$K$58,0%),"0.0%")</f>
        <v>0.0%</v>
      </c>
      <c r="M46" s="290" t="str">
        <f>VLOOKUP($B46,Activities!$A$10:$S$152,19,FALSE)</f>
        <v>This activity is the final actiivity for a well or bore.  It involves breaking up and removing of any concrete cap, excavating approximately 1 metres below ground level, cutting the casing off at least 0.5 metres below ground level and backfilling the hole to ground level with fill material and available topsoil.</v>
      </c>
    </row>
    <row r="47" spans="1:19" ht="60.75" thickBot="1" x14ac:dyDescent="0.3">
      <c r="A47" s="1133"/>
      <c r="B47" s="245" t="s">
        <v>434</v>
      </c>
      <c r="C47" s="259" t="str">
        <f>VLOOKUP($B47,Activities!$A$10:$P$152,3,FALSE)</f>
        <v>Removal and Disposal of Major Trunk Pipelines</v>
      </c>
      <c r="D47" s="239" t="s">
        <v>49</v>
      </c>
      <c r="E47" s="240"/>
      <c r="F47" s="246" t="str">
        <f>VLOOKUP($B47,Activities!$A$10:$P$152,4,FALSE)</f>
        <v>m</v>
      </c>
      <c r="G47" s="1269"/>
      <c r="H47" s="1270"/>
      <c r="I47" s="272">
        <f>VLOOKUP($B47,Activities!$A$10:$S$152,16,FALSE)</f>
        <v>32.467068764228138</v>
      </c>
      <c r="J47" s="269"/>
      <c r="K47" s="388">
        <f t="shared" si="12"/>
        <v>0</v>
      </c>
      <c r="L47" s="248" t="str">
        <f t="shared" si="13"/>
        <v>0.0%</v>
      </c>
      <c r="M47" s="290" t="str">
        <f>VLOOKUP($B47,Activities!$A$10:$S$152,19,FALSE)</f>
        <v>The activity relates specifically to the removal and disposal of trunk pipelines assumed to be plastic in nature but greater than 200 mm in diameter.   The pipework should be cut up or shredded.   If the pipe is very large or steel a separate demolition price should be prepared.  It does not inlcude pipework within a process plant.</v>
      </c>
    </row>
    <row r="48" spans="1:19" ht="48.75" thickBot="1" x14ac:dyDescent="0.3">
      <c r="A48" s="1133"/>
      <c r="B48" s="475" t="s">
        <v>79</v>
      </c>
      <c r="C48" s="259" t="str">
        <f>VLOOKUP($B48,Activities!$A$10:$P$152,3,FALSE)</f>
        <v>Minor Shaping across a Dump or Disturbed Area</v>
      </c>
      <c r="D48" s="239" t="s">
        <v>49</v>
      </c>
      <c r="E48" s="240"/>
      <c r="F48" s="246" t="str">
        <f>VLOOKUP($B48,Activities!$A$10:$P$152,4,FALSE)</f>
        <v>Ha</v>
      </c>
      <c r="G48" s="1269"/>
      <c r="H48" s="1270"/>
      <c r="I48" s="273">
        <f>VLOOKUP($B48,Activities!$A$10:$S$152,16,FALSE)</f>
        <v>2987.2221197728068</v>
      </c>
      <c r="J48" s="269"/>
      <c r="K48" s="388">
        <f t="shared" si="12"/>
        <v>0</v>
      </c>
      <c r="L48" s="248" t="str">
        <f t="shared" si="13"/>
        <v>0.0%</v>
      </c>
      <c r="M48" s="290" t="str">
        <f>VLOOKUP($B48,Activities!$A$10:$S$152,19,FALSE)</f>
        <v xml:space="preserve">This activity covers minor shaping shifting pushing across a dump or disturbed area.  It is based on a rate per hectare.  It covers area where there needs to be some clearing work, tidying up of disturbed ground,  but not just bulk pushing </v>
      </c>
    </row>
    <row r="49" spans="1:13" ht="49.5" customHeight="1" thickBot="1" x14ac:dyDescent="0.3">
      <c r="A49" s="1133"/>
      <c r="B49" s="245" t="s">
        <v>21</v>
      </c>
      <c r="C49" s="259" t="str">
        <f>VLOOKUP($B49,Activities!$A$10:$P$152,3,FALSE)</f>
        <v>Scarification to promote vegetation growth</v>
      </c>
      <c r="D49" s="239" t="s">
        <v>49</v>
      </c>
      <c r="E49" s="240"/>
      <c r="F49" s="246" t="str">
        <f>VLOOKUP($B49,Activities!$A$10:$P$152,4,FALSE)</f>
        <v>Ha</v>
      </c>
      <c r="G49" s="1269"/>
      <c r="H49" s="1270"/>
      <c r="I49" s="273">
        <f>VLOOKUP($B49,Activities!$A$10:$S$152,16,FALSE)</f>
        <v>323.54530924221694</v>
      </c>
      <c r="J49" s="269"/>
      <c r="K49" s="388">
        <f t="shared" si="12"/>
        <v>0</v>
      </c>
      <c r="L49" s="248" t="str">
        <f>IFERROR(IF(D49="Y",K49/$K$60,0%),"0.0%")</f>
        <v>0.0%</v>
      </c>
      <c r="M49" s="290" t="str">
        <f>VLOOKUP($B49,Activities!$A$10:$S$152,19,FALSE)</f>
        <v xml:space="preserve">This activity is undertaken in preparation for the seeding of a particular area.  </v>
      </c>
    </row>
    <row r="50" spans="1:13" ht="72.75" thickBot="1" x14ac:dyDescent="0.3">
      <c r="A50" s="1134"/>
      <c r="B50" s="86" t="s">
        <v>251</v>
      </c>
      <c r="C50" s="259" t="str">
        <f>VLOOKUP($B50,Activities!$A$10:$P$152,3,FALSE)</f>
        <v>Scarification and ripping of Haul and Access Roads</v>
      </c>
      <c r="D50" s="239" t="s">
        <v>49</v>
      </c>
      <c r="E50" s="240"/>
      <c r="F50" s="246" t="str">
        <f>VLOOKUP($B50,Activities!$A$10:$P$152,4,FALSE)</f>
        <v>km</v>
      </c>
      <c r="G50" s="1269"/>
      <c r="H50" s="1270"/>
      <c r="I50" s="273">
        <f>VLOOKUP($B50,Activities!$A$10:$S$152,16,FALSE)</f>
        <v>817.62150792547607</v>
      </c>
      <c r="J50" s="269"/>
      <c r="K50" s="388">
        <f t="shared" si="12"/>
        <v>0</v>
      </c>
      <c r="L50" s="248" t="str">
        <f t="shared" si="13"/>
        <v>0.0%</v>
      </c>
      <c r="M50" s="290" t="str">
        <f>VLOOKUP($B50,Activities!$A$10:$S$152,19,FALSE)</f>
        <v>This activity is specifically minor shaping and for the scarification and where necessary the deep ripping of Haul and Access roads to allow natural re-vegetation to occurr.   It is appropriate for access roads and tracks of a width of 5 metres and of minimal construction.  (Access to drill locations and minor areas) ( For major constructed haul roads  20m in width use A1039)</v>
      </c>
    </row>
    <row r="51" spans="1:13" ht="15.75" thickBot="1" x14ac:dyDescent="0.3">
      <c r="A51" s="21" t="s">
        <v>53</v>
      </c>
      <c r="B51" s="112" t="str">
        <f>A42</f>
        <v>Borefields including water fields and insitu leaching fields</v>
      </c>
      <c r="C51" s="23"/>
      <c r="D51" s="24"/>
      <c r="E51" s="25"/>
      <c r="F51" s="24"/>
      <c r="G51" s="24"/>
      <c r="H51" s="24"/>
      <c r="I51" s="26"/>
      <c r="J51" s="27"/>
      <c r="K51" s="28">
        <f>SUM(K42:K50)</f>
        <v>0</v>
      </c>
      <c r="L51" s="24"/>
      <c r="M51" s="43"/>
    </row>
    <row r="52" spans="1:13" ht="79.5" thickBot="1" x14ac:dyDescent="0.3">
      <c r="A52" s="1361" t="s">
        <v>431</v>
      </c>
      <c r="B52" s="104" t="s">
        <v>242</v>
      </c>
      <c r="C52" s="259" t="str">
        <f>VLOOKUP($B52,Activities!$A$10:$P$152,3,FALSE)</f>
        <v xml:space="preserve">Excavation of contaminated materials (earthen materials contaminated by metals, hydrocarbons, putrescible waste management etc) </v>
      </c>
      <c r="D52" s="239" t="s">
        <v>49</v>
      </c>
      <c r="E52" s="240"/>
      <c r="F52" s="246" t="str">
        <f>VLOOKUP($B52,Activities!$A$10:$P$152,4,FALSE)</f>
        <v>m3</v>
      </c>
      <c r="G52" s="1269"/>
      <c r="H52" s="1270"/>
      <c r="I52" s="272">
        <f>VLOOKUP($B52,Activities!$A$10:$S$152,16,FALSE)</f>
        <v>3.7375919690128194</v>
      </c>
      <c r="J52" s="269"/>
      <c r="K52" s="388">
        <f t="shared" ref="K52" si="14">IF(D52="Y",IF(J52="",I52*E52,J52*E52),0)</f>
        <v>0</v>
      </c>
      <c r="L52" s="248" t="str">
        <f>IFERROR(IF(D52="Y",K52/$K$58,0%),"0.0%")</f>
        <v>0.0%</v>
      </c>
      <c r="M52" s="290" t="str">
        <f>VLOOKUP($B52,Activities!$A$10:$S$152,19,FALSE)</f>
        <v>This assumes material can be removed to an approved dump on the mine site.  If such material needs to be transported off site, a separate quotation should be obtained for this activity.</v>
      </c>
    </row>
    <row r="53" spans="1:13" ht="49.5" customHeight="1" thickBot="1" x14ac:dyDescent="0.3">
      <c r="A53" s="1361"/>
      <c r="B53" s="480"/>
      <c r="C53" s="218" t="s">
        <v>55</v>
      </c>
      <c r="D53" s="239" t="s">
        <v>49</v>
      </c>
      <c r="E53" s="320"/>
      <c r="F53" s="166"/>
      <c r="G53" s="1269"/>
      <c r="H53" s="1270"/>
      <c r="I53" s="355" t="s">
        <v>475</v>
      </c>
      <c r="J53" s="269"/>
      <c r="K53" s="387">
        <f>IF(D53="Y",J53*E53,"")</f>
        <v>0</v>
      </c>
      <c r="L53" s="145" t="str">
        <f>IFERROR(IF(D53="Y",K53/$K$57,0%),"0.0%")</f>
        <v>0.0%</v>
      </c>
      <c r="M53" s="139" t="s">
        <v>56</v>
      </c>
    </row>
    <row r="54" spans="1:13" ht="49.5" customHeight="1" thickBot="1" x14ac:dyDescent="0.3">
      <c r="A54" s="1361"/>
      <c r="B54" s="480"/>
      <c r="C54" s="218" t="s">
        <v>55</v>
      </c>
      <c r="D54" s="239" t="s">
        <v>49</v>
      </c>
      <c r="E54" s="320"/>
      <c r="F54" s="166"/>
      <c r="G54" s="1269"/>
      <c r="H54" s="1270"/>
      <c r="I54" s="355" t="s">
        <v>475</v>
      </c>
      <c r="J54" s="269"/>
      <c r="K54" s="387">
        <f>IF(D54="Y",J54*E54,"")</f>
        <v>0</v>
      </c>
      <c r="L54" s="145" t="str">
        <f>IFERROR(IF(D54="Y",K54/$K$57,0%),"0.0%")</f>
        <v>0.0%</v>
      </c>
      <c r="M54" s="139" t="s">
        <v>56</v>
      </c>
    </row>
    <row r="55" spans="1:13" ht="15.75" thickBot="1" x14ac:dyDescent="0.3">
      <c r="A55" s="21" t="s">
        <v>53</v>
      </c>
      <c r="B55" s="112" t="str">
        <f>A52</f>
        <v>Other Activity in respect of Services</v>
      </c>
      <c r="C55" s="23"/>
      <c r="D55" s="24"/>
      <c r="E55" s="25"/>
      <c r="F55" s="24"/>
      <c r="G55" s="24"/>
      <c r="H55" s="24"/>
      <c r="I55" s="26"/>
      <c r="J55" s="27"/>
      <c r="K55" s="28">
        <f>SUM(K52:K54)</f>
        <v>0</v>
      </c>
      <c r="L55" s="24"/>
      <c r="M55" s="29"/>
    </row>
    <row r="56" spans="1:13" x14ac:dyDescent="0.25">
      <c r="A56" s="3"/>
      <c r="B56" s="481"/>
      <c r="C56" s="30"/>
      <c r="D56" s="9"/>
      <c r="E56" s="31"/>
      <c r="F56" s="9"/>
      <c r="G56" s="9"/>
      <c r="H56" s="9"/>
      <c r="I56" s="32"/>
      <c r="J56" s="2"/>
      <c r="K56" s="77"/>
      <c r="L56" s="9"/>
      <c r="M56" s="30"/>
    </row>
    <row r="57" spans="1:13" ht="21" x14ac:dyDescent="0.25">
      <c r="A57" s="3"/>
      <c r="B57" s="481"/>
      <c r="C57" s="30"/>
      <c r="D57" s="9"/>
      <c r="E57" s="31"/>
      <c r="F57" s="9"/>
      <c r="G57" s="9"/>
      <c r="H57" s="9"/>
      <c r="J57" s="34" t="s">
        <v>299</v>
      </c>
      <c r="K57" s="53">
        <f>K55+K51+K41+K28</f>
        <v>0</v>
      </c>
      <c r="L57" s="9"/>
      <c r="M57" s="30"/>
    </row>
    <row r="58" spans="1:13" x14ac:dyDescent="0.25">
      <c r="A58" s="3"/>
      <c r="B58" s="481"/>
      <c r="C58" s="30"/>
      <c r="D58" s="9"/>
      <c r="E58" s="31"/>
      <c r="F58" s="9"/>
      <c r="G58" s="9"/>
      <c r="H58" s="9"/>
      <c r="I58" s="32"/>
      <c r="J58" s="2"/>
      <c r="K58" s="77"/>
      <c r="L58" s="9"/>
      <c r="M58" s="30"/>
    </row>
    <row r="59" spans="1:13" x14ac:dyDescent="0.25">
      <c r="A59" s="3"/>
      <c r="B59" s="481"/>
      <c r="C59" s="30"/>
      <c r="D59" s="9"/>
      <c r="E59" s="31"/>
      <c r="F59" s="9"/>
      <c r="G59" s="9"/>
      <c r="H59" s="9"/>
      <c r="I59" s="32"/>
      <c r="J59" s="2"/>
      <c r="K59" s="77"/>
      <c r="L59" s="9"/>
      <c r="M59" s="30"/>
    </row>
    <row r="60" spans="1:13" x14ac:dyDescent="0.25">
      <c r="A60" s="3"/>
      <c r="B60" s="481"/>
      <c r="C60" s="30"/>
      <c r="D60" s="9"/>
      <c r="E60" s="31"/>
      <c r="F60" s="9"/>
      <c r="G60" s="9"/>
      <c r="H60" s="9"/>
      <c r="I60" s="32"/>
      <c r="J60" s="2"/>
      <c r="K60" s="77"/>
      <c r="L60" s="9"/>
      <c r="M60" s="30"/>
    </row>
    <row r="61" spans="1:13" x14ac:dyDescent="0.25">
      <c r="A61" s="3"/>
      <c r="B61" s="481"/>
      <c r="C61" s="30"/>
      <c r="D61" s="9"/>
      <c r="E61" s="31"/>
      <c r="F61" s="9"/>
      <c r="G61" s="9"/>
      <c r="H61" s="9"/>
      <c r="I61" s="32"/>
      <c r="J61" s="2"/>
      <c r="K61" s="77"/>
      <c r="L61" s="9"/>
      <c r="M61" s="30"/>
    </row>
    <row r="62" spans="1:13" x14ac:dyDescent="0.25">
      <c r="A62" s="3"/>
      <c r="B62" s="481"/>
      <c r="C62" s="30"/>
      <c r="D62" s="9"/>
      <c r="E62" s="31"/>
      <c r="F62" s="9"/>
      <c r="G62" s="9"/>
      <c r="H62" s="9"/>
      <c r="I62" s="32"/>
      <c r="J62" s="2"/>
      <c r="K62" s="77"/>
      <c r="L62" s="9"/>
      <c r="M62" s="30"/>
    </row>
    <row r="63" spans="1:13" x14ac:dyDescent="0.25">
      <c r="A63" s="3"/>
      <c r="B63" s="481"/>
      <c r="C63" s="30"/>
      <c r="D63" s="9"/>
      <c r="E63" s="31"/>
      <c r="F63" s="9"/>
      <c r="G63" s="9"/>
      <c r="H63" s="9"/>
      <c r="I63" s="32"/>
      <c r="J63" s="2"/>
      <c r="K63" s="77"/>
      <c r="L63" s="9"/>
      <c r="M63" s="30"/>
    </row>
    <row r="64" spans="1:13" x14ac:dyDescent="0.25">
      <c r="A64" s="3"/>
      <c r="B64" s="481"/>
      <c r="C64" s="30"/>
      <c r="D64" s="9"/>
      <c r="E64" s="31"/>
      <c r="F64" s="9"/>
      <c r="G64" s="9"/>
      <c r="H64" s="9"/>
      <c r="I64" s="32"/>
      <c r="J64" s="2"/>
      <c r="K64" s="77"/>
      <c r="L64" s="9"/>
      <c r="M64" s="30"/>
    </row>
    <row r="65" spans="1:13" x14ac:dyDescent="0.25">
      <c r="A65" s="3"/>
      <c r="B65" s="481"/>
      <c r="C65" s="30"/>
      <c r="D65" s="9"/>
      <c r="E65" s="31"/>
      <c r="F65" s="9"/>
      <c r="G65" s="9"/>
      <c r="H65" s="9"/>
      <c r="I65" s="32"/>
      <c r="J65" s="2"/>
      <c r="K65" s="77"/>
      <c r="L65" s="9"/>
      <c r="M65" s="30"/>
    </row>
    <row r="66" spans="1:13" x14ac:dyDescent="0.25">
      <c r="A66" s="3"/>
      <c r="B66" s="481"/>
      <c r="C66" s="30"/>
      <c r="D66" s="9"/>
      <c r="E66" s="31"/>
      <c r="F66" s="9"/>
      <c r="G66" s="9"/>
      <c r="H66" s="9"/>
      <c r="I66" s="32"/>
      <c r="J66" s="2"/>
      <c r="K66" s="77"/>
      <c r="L66" s="9"/>
      <c r="M66" s="30"/>
    </row>
    <row r="67" spans="1:13" x14ac:dyDescent="0.25">
      <c r="A67" s="3"/>
      <c r="B67" s="481"/>
      <c r="C67" s="30"/>
      <c r="D67" s="9"/>
      <c r="E67" s="31"/>
      <c r="F67" s="9"/>
      <c r="G67" s="9"/>
      <c r="H67" s="9"/>
      <c r="I67" s="32"/>
      <c r="J67" s="2"/>
      <c r="K67" s="77"/>
      <c r="L67" s="9"/>
      <c r="M67" s="30"/>
    </row>
    <row r="68" spans="1:13" x14ac:dyDescent="0.25">
      <c r="A68" s="3"/>
      <c r="B68" s="481"/>
      <c r="C68" s="30"/>
      <c r="D68" s="9"/>
      <c r="E68" s="31"/>
      <c r="F68" s="9"/>
      <c r="G68" s="9"/>
      <c r="H68" s="9"/>
      <c r="I68" s="32"/>
      <c r="J68" s="2"/>
      <c r="K68" s="77"/>
      <c r="L68" s="9"/>
      <c r="M68" s="30"/>
    </row>
    <row r="69" spans="1:13" x14ac:dyDescent="0.25">
      <c r="A69" s="3"/>
      <c r="B69" s="481"/>
      <c r="C69" s="30"/>
      <c r="D69" s="9"/>
      <c r="E69" s="9"/>
      <c r="F69" s="9"/>
      <c r="G69" s="9"/>
      <c r="H69" s="9"/>
      <c r="I69" s="32"/>
      <c r="J69" s="2"/>
      <c r="K69" s="77"/>
      <c r="L69" s="9"/>
      <c r="M69" s="30"/>
    </row>
    <row r="70" spans="1:13" x14ac:dyDescent="0.25">
      <c r="B70" s="481"/>
      <c r="C70" s="30"/>
      <c r="D70" s="9"/>
      <c r="E70" s="9"/>
      <c r="F70" s="9"/>
      <c r="G70" s="9"/>
      <c r="H70" s="9"/>
      <c r="I70" s="32"/>
      <c r="J70" s="2"/>
      <c r="K70" s="77"/>
      <c r="L70" s="9"/>
      <c r="M70" s="30"/>
    </row>
    <row r="71" spans="1:13" x14ac:dyDescent="0.25">
      <c r="C71" s="30"/>
      <c r="D71" s="9"/>
      <c r="E71" s="9"/>
      <c r="F71" s="9"/>
      <c r="G71" s="9"/>
      <c r="H71" s="9"/>
      <c r="I71" s="32"/>
      <c r="J71" s="2"/>
      <c r="K71" s="9"/>
      <c r="L71" s="9"/>
      <c r="M71" s="30"/>
    </row>
    <row r="72" spans="1:13" x14ac:dyDescent="0.25">
      <c r="C72" s="30"/>
      <c r="D72" s="9"/>
      <c r="E72" s="9"/>
      <c r="F72" s="9"/>
      <c r="G72" s="9"/>
      <c r="H72" s="9"/>
      <c r="I72" s="32"/>
      <c r="J72" s="2"/>
      <c r="K72" s="9"/>
      <c r="L72" s="9"/>
      <c r="M72" s="30"/>
    </row>
    <row r="73" spans="1:13" x14ac:dyDescent="0.25">
      <c r="C73" s="30"/>
      <c r="D73" s="9"/>
      <c r="E73" s="9"/>
      <c r="F73" s="9"/>
      <c r="G73" s="9"/>
      <c r="H73" s="9"/>
      <c r="I73" s="9"/>
      <c r="J73" s="9"/>
      <c r="K73" s="9"/>
      <c r="L73" s="9"/>
      <c r="M73" s="30"/>
    </row>
    <row r="74" spans="1:13" x14ac:dyDescent="0.25">
      <c r="D74" s="9"/>
      <c r="E74" s="9"/>
      <c r="F74" s="9"/>
      <c r="G74" s="9"/>
      <c r="H74" s="9"/>
      <c r="I74" s="9"/>
      <c r="J74" s="9"/>
      <c r="K74" s="9"/>
      <c r="L74" s="9"/>
    </row>
    <row r="75" spans="1:13" x14ac:dyDescent="0.25">
      <c r="D75" s="9"/>
      <c r="E75" s="9"/>
      <c r="F75" s="9"/>
      <c r="G75" s="9"/>
      <c r="H75" s="9"/>
      <c r="I75" s="9"/>
      <c r="J75" s="9"/>
      <c r="K75" s="9"/>
      <c r="L75" s="9"/>
    </row>
    <row r="76" spans="1:13" x14ac:dyDescent="0.25">
      <c r="D76" s="9"/>
      <c r="E76" s="9"/>
      <c r="F76" s="9"/>
      <c r="G76" s="9"/>
      <c r="H76" s="9"/>
      <c r="I76" s="9"/>
      <c r="J76" s="9"/>
      <c r="K76" s="9"/>
      <c r="L76" s="9"/>
    </row>
    <row r="77" spans="1:13" x14ac:dyDescent="0.25">
      <c r="D77" s="9"/>
      <c r="E77" s="9"/>
      <c r="F77" s="9"/>
      <c r="G77" s="9"/>
      <c r="H77" s="9"/>
      <c r="I77" s="9"/>
      <c r="J77" s="9"/>
      <c r="K77" s="9"/>
      <c r="L77" s="9"/>
    </row>
    <row r="78" spans="1:13" x14ac:dyDescent="0.25">
      <c r="D78" s="9"/>
      <c r="E78" s="9"/>
      <c r="F78" s="9"/>
      <c r="G78" s="9"/>
      <c r="H78" s="9"/>
      <c r="I78" s="9"/>
      <c r="J78" s="9"/>
      <c r="K78" s="9"/>
      <c r="L78" s="9"/>
    </row>
    <row r="79" spans="1:13" x14ac:dyDescent="0.25">
      <c r="D79" s="9"/>
      <c r="E79" s="9"/>
      <c r="F79" s="9"/>
      <c r="G79" s="9"/>
      <c r="H79" s="9"/>
      <c r="I79" s="9"/>
      <c r="J79" s="9"/>
      <c r="K79" s="9"/>
      <c r="L79" s="9"/>
    </row>
    <row r="80" spans="1:13" x14ac:dyDescent="0.25">
      <c r="D80" s="9"/>
      <c r="E80" s="9"/>
      <c r="F80" s="9"/>
      <c r="G80" s="9"/>
      <c r="H80" s="9"/>
      <c r="I80" s="9"/>
      <c r="J80" s="9"/>
      <c r="K80" s="9"/>
      <c r="L80" s="9"/>
    </row>
    <row r="81" spans="4:12" x14ac:dyDescent="0.25">
      <c r="D81" s="9"/>
      <c r="E81" s="9"/>
      <c r="F81" s="9"/>
      <c r="G81" s="9"/>
      <c r="H81" s="9"/>
      <c r="I81" s="9"/>
      <c r="J81" s="9"/>
      <c r="K81" s="9"/>
      <c r="L81" s="9"/>
    </row>
    <row r="82" spans="4:12" x14ac:dyDescent="0.25">
      <c r="D82" s="9"/>
      <c r="E82" s="9"/>
      <c r="F82" s="9"/>
      <c r="G82" s="9"/>
      <c r="H82" s="9"/>
      <c r="I82" s="9"/>
      <c r="J82" s="9"/>
      <c r="K82" s="9"/>
      <c r="L82" s="9"/>
    </row>
    <row r="83" spans="4:12" x14ac:dyDescent="0.25">
      <c r="D83" s="9"/>
      <c r="E83" s="9"/>
      <c r="F83" s="9"/>
      <c r="G83" s="9"/>
      <c r="H83" s="9"/>
      <c r="I83" s="9"/>
      <c r="J83" s="9"/>
      <c r="K83" s="9"/>
      <c r="L83" s="9"/>
    </row>
    <row r="84" spans="4:12" x14ac:dyDescent="0.25">
      <c r="D84" s="9"/>
      <c r="E84" s="9"/>
      <c r="F84" s="9"/>
      <c r="G84" s="9"/>
      <c r="H84" s="9"/>
      <c r="I84" s="9"/>
      <c r="J84" s="9"/>
      <c r="K84" s="9"/>
      <c r="L84" s="9"/>
    </row>
    <row r="85" spans="4:12" x14ac:dyDescent="0.25">
      <c r="D85" s="9"/>
      <c r="E85" s="9"/>
      <c r="F85" s="9"/>
      <c r="G85" s="9"/>
      <c r="H85" s="9"/>
      <c r="I85" s="9"/>
      <c r="J85" s="9"/>
      <c r="K85" s="9"/>
      <c r="L85" s="9"/>
    </row>
  </sheetData>
  <sheetProtection algorithmName="SHA-512" hashValue="ppsrbU+7uNrIx+gDrQXh57lYYZYJAEsOJdZyisACKbF+rxQyeFTC3GCLoDghit8mY1ti97OBVeSEt7KfWc8OTQ==" saltValue="f1aAPxbIliuLTT+0XI76zw==" spinCount="100000" sheet="1" formatCells="0" formatRows="0" selectLockedCells="1"/>
  <mergeCells count="56">
    <mergeCell ref="L20:M20"/>
    <mergeCell ref="G21:H21"/>
    <mergeCell ref="A29:A39"/>
    <mergeCell ref="A42:A50"/>
    <mergeCell ref="G23:H23"/>
    <mergeCell ref="G24:H24"/>
    <mergeCell ref="G25:H25"/>
    <mergeCell ref="G26:H26"/>
    <mergeCell ref="G29:H29"/>
    <mergeCell ref="G22:H22"/>
    <mergeCell ref="G46:H46"/>
    <mergeCell ref="G42:H42"/>
    <mergeCell ref="G39:H39"/>
    <mergeCell ref="G40:H40"/>
    <mergeCell ref="G48:H48"/>
    <mergeCell ref="G34:H34"/>
    <mergeCell ref="A52:A54"/>
    <mergeCell ref="G44:H44"/>
    <mergeCell ref="G43:H43"/>
    <mergeCell ref="G31:H31"/>
    <mergeCell ref="G35:H35"/>
    <mergeCell ref="G37:H37"/>
    <mergeCell ref="G38:H38"/>
    <mergeCell ref="G54:H54"/>
    <mergeCell ref="G49:H49"/>
    <mergeCell ref="G50:H50"/>
    <mergeCell ref="G52:H52"/>
    <mergeCell ref="G53:H53"/>
    <mergeCell ref="G33:H33"/>
    <mergeCell ref="G36:H36"/>
    <mergeCell ref="G47:H47"/>
    <mergeCell ref="G32:H32"/>
    <mergeCell ref="C15:E15"/>
    <mergeCell ref="A16:E19"/>
    <mergeCell ref="A1:B1"/>
    <mergeCell ref="C1:E1"/>
    <mergeCell ref="K1:L1"/>
    <mergeCell ref="C2:E2"/>
    <mergeCell ref="C3:E3"/>
    <mergeCell ref="F1:J3"/>
    <mergeCell ref="G30:H30"/>
    <mergeCell ref="G27:H27"/>
    <mergeCell ref="A22:A27"/>
    <mergeCell ref="A5:E6"/>
    <mergeCell ref="G5:J5"/>
    <mergeCell ref="G6:M7"/>
    <mergeCell ref="B7:E7"/>
    <mergeCell ref="B8:E8"/>
    <mergeCell ref="G8:M19"/>
    <mergeCell ref="B9:E9"/>
    <mergeCell ref="B10:E10"/>
    <mergeCell ref="B11:E11"/>
    <mergeCell ref="B12:E12"/>
    <mergeCell ref="A14:B14"/>
    <mergeCell ref="C14:E14"/>
    <mergeCell ref="A15:B15"/>
  </mergeCells>
  <pageMargins left="0.70866141732283472" right="0.70866141732283472" top="0.74803149606299213" bottom="0.74803149606299213" header="0.31496062992125984" footer="0.31496062992125984"/>
  <pageSetup paperSize="9" scale="52" fitToHeight="3" orientation="landscape" r:id="rId1"/>
  <headerFooter>
    <oddHeader>&amp;LDepartment for Energy and Mining&amp;C&amp;"Arial"&amp;12&amp;KA80000 OFFICIAL&amp;1#_x000D_</oddHeader>
    <oddFooter>&amp;L&amp;Z
&amp;F&amp;C&amp;P&amp;R&amp;D</oddFooter>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pageSetUpPr fitToPage="1"/>
  </sheetPr>
  <dimension ref="A1:V85"/>
  <sheetViews>
    <sheetView showGridLines="0" zoomScale="90" zoomScaleNormal="90" workbookViewId="0">
      <selection activeCell="G8" sqref="G8:M19"/>
    </sheetView>
  </sheetViews>
  <sheetFormatPr defaultRowHeight="15" x14ac:dyDescent="0.25"/>
  <cols>
    <col min="1" max="1" width="19.28515625" customWidth="1"/>
    <col min="2" max="2" width="11.5703125" style="56" customWidth="1"/>
    <col min="3" max="3" width="37.7109375" customWidth="1"/>
    <col min="4" max="4" width="13.5703125" customWidth="1"/>
    <col min="5" max="5" width="11" customWidth="1"/>
    <col min="7" max="7" width="21.5703125" customWidth="1"/>
    <col min="8" max="8" width="15" customWidth="1"/>
    <col min="9" max="9" width="12.28515625" customWidth="1"/>
    <col min="10" max="10" width="12.140625" customWidth="1"/>
    <col min="11" max="11" width="16.85546875" customWidth="1"/>
    <col min="12" max="12" width="13.5703125" customWidth="1"/>
    <col min="13" max="13" width="55.140625" customWidth="1"/>
    <col min="18" max="22" width="12.42578125" customWidth="1"/>
  </cols>
  <sheetData>
    <row r="1" spans="1:13" ht="50.25" customHeight="1" x14ac:dyDescent="0.25">
      <c r="A1" s="1322" t="s">
        <v>530</v>
      </c>
      <c r="B1" s="1323"/>
      <c r="C1" s="1324" t="str">
        <f>'Summary Page'!E13</f>
        <v/>
      </c>
      <c r="D1" s="1325"/>
      <c r="E1" s="1326"/>
      <c r="F1" s="1360" t="s">
        <v>580</v>
      </c>
      <c r="G1" s="1285"/>
      <c r="H1" s="1285"/>
      <c r="I1" s="1285"/>
      <c r="J1" s="1286"/>
      <c r="K1" s="1295" t="s">
        <v>460</v>
      </c>
      <c r="L1" s="1295"/>
      <c r="M1" s="404"/>
    </row>
    <row r="2" spans="1:13" ht="21" x14ac:dyDescent="0.35">
      <c r="A2" s="368" t="s">
        <v>461</v>
      </c>
      <c r="B2" s="325">
        <v>13</v>
      </c>
      <c r="C2" s="1296" t="str">
        <f>'Summary Page'!E19</f>
        <v/>
      </c>
      <c r="D2" s="1297"/>
      <c r="E2" s="1348"/>
      <c r="F2" s="1287"/>
      <c r="G2" s="1288"/>
      <c r="H2" s="1288"/>
      <c r="I2" s="1288"/>
      <c r="J2" s="1289"/>
      <c r="K2" s="326"/>
      <c r="L2" s="327" t="s">
        <v>152</v>
      </c>
      <c r="M2" s="328">
        <f>K57</f>
        <v>0</v>
      </c>
    </row>
    <row r="3" spans="1:13" ht="33.75" customHeight="1" x14ac:dyDescent="0.25">
      <c r="A3" s="329" t="s">
        <v>267</v>
      </c>
      <c r="B3" s="477">
        <f>'Version Control'!B50</f>
        <v>7</v>
      </c>
      <c r="C3" s="1356"/>
      <c r="D3" s="1357"/>
      <c r="E3" s="1358"/>
      <c r="F3" s="1290"/>
      <c r="G3" s="1291"/>
      <c r="H3" s="1291"/>
      <c r="I3" s="1291"/>
      <c r="J3" s="1292"/>
      <c r="K3" s="331"/>
      <c r="L3" s="332" t="s">
        <v>462</v>
      </c>
      <c r="M3" s="333">
        <f>'Summary Page'!J73</f>
        <v>0</v>
      </c>
    </row>
    <row r="4" spans="1:13" ht="21" x14ac:dyDescent="0.25">
      <c r="A4" s="334" t="s">
        <v>463</v>
      </c>
      <c r="B4" s="478">
        <f>'Version Control'!A50</f>
        <v>45531</v>
      </c>
      <c r="C4" s="233"/>
      <c r="D4" s="233"/>
      <c r="E4" s="233"/>
      <c r="F4" s="233"/>
      <c r="G4" s="233"/>
      <c r="H4" s="233"/>
      <c r="I4" s="233"/>
      <c r="J4" s="233"/>
      <c r="K4" s="294"/>
      <c r="L4" s="336" t="s">
        <v>464</v>
      </c>
      <c r="M4" s="337" t="e">
        <f>M2/M3</f>
        <v>#DIV/0!</v>
      </c>
    </row>
    <row r="5" spans="1:13" ht="23.25" x14ac:dyDescent="0.25">
      <c r="A5" s="1349" t="s">
        <v>465</v>
      </c>
      <c r="B5" s="1298"/>
      <c r="C5" s="1298"/>
      <c r="D5" s="1298"/>
      <c r="E5" s="1299"/>
      <c r="F5" s="233"/>
      <c r="G5" s="1302" t="s">
        <v>466</v>
      </c>
      <c r="H5" s="1303"/>
      <c r="I5" s="1303"/>
      <c r="J5" s="1304"/>
      <c r="K5" s="233"/>
      <c r="L5" s="233"/>
      <c r="M5" s="233"/>
    </row>
    <row r="6" spans="1:13" ht="15" customHeight="1" x14ac:dyDescent="0.25">
      <c r="A6" s="1350"/>
      <c r="B6" s="1351"/>
      <c r="C6" s="1351"/>
      <c r="D6" s="1351"/>
      <c r="E6" s="1352"/>
      <c r="F6" s="299"/>
      <c r="G6" s="1305" t="s">
        <v>484</v>
      </c>
      <c r="H6" s="1306"/>
      <c r="I6" s="1306"/>
      <c r="J6" s="1306"/>
      <c r="K6" s="1306"/>
      <c r="L6" s="1306"/>
      <c r="M6" s="1307"/>
    </row>
    <row r="7" spans="1:13" ht="16.5" customHeight="1" x14ac:dyDescent="0.25">
      <c r="A7" s="348">
        <v>1</v>
      </c>
      <c r="B7" s="1353" t="s">
        <v>531</v>
      </c>
      <c r="C7" s="1354"/>
      <c r="D7" s="1354"/>
      <c r="E7" s="1355"/>
      <c r="F7" s="339"/>
      <c r="G7" s="1308"/>
      <c r="H7" s="1309"/>
      <c r="I7" s="1309"/>
      <c r="J7" s="1309"/>
      <c r="K7" s="1309"/>
      <c r="L7" s="1309"/>
      <c r="M7" s="1310"/>
    </row>
    <row r="8" spans="1:13" x14ac:dyDescent="0.25">
      <c r="A8" s="297">
        <v>2</v>
      </c>
      <c r="B8" s="1340" t="s">
        <v>579</v>
      </c>
      <c r="C8" s="1341"/>
      <c r="D8" s="1341"/>
      <c r="E8" s="1342"/>
      <c r="F8" s="339"/>
      <c r="G8" s="1137"/>
      <c r="H8" s="1138"/>
      <c r="I8" s="1138"/>
      <c r="J8" s="1138"/>
      <c r="K8" s="1138"/>
      <c r="L8" s="1138"/>
      <c r="M8" s="1139"/>
    </row>
    <row r="9" spans="1:13" x14ac:dyDescent="0.25">
      <c r="A9" s="297">
        <v>3</v>
      </c>
      <c r="B9" s="1343" t="s">
        <v>298</v>
      </c>
      <c r="C9" s="1344"/>
      <c r="D9" s="1344"/>
      <c r="E9" s="1345"/>
      <c r="F9" s="339"/>
      <c r="G9" s="1140"/>
      <c r="H9" s="1329"/>
      <c r="I9" s="1329"/>
      <c r="J9" s="1329"/>
      <c r="K9" s="1329"/>
      <c r="L9" s="1329"/>
      <c r="M9" s="1142"/>
    </row>
    <row r="10" spans="1:13" ht="15" customHeight="1" x14ac:dyDescent="0.25">
      <c r="A10" s="297">
        <v>4</v>
      </c>
      <c r="B10" s="1327" t="s">
        <v>581</v>
      </c>
      <c r="C10" s="1327"/>
      <c r="D10" s="1327"/>
      <c r="E10" s="1328"/>
      <c r="F10" s="339"/>
      <c r="G10" s="1140"/>
      <c r="H10" s="1329"/>
      <c r="I10" s="1329"/>
      <c r="J10" s="1329"/>
      <c r="K10" s="1329"/>
      <c r="L10" s="1329"/>
      <c r="M10" s="1142"/>
    </row>
    <row r="11" spans="1:13" x14ac:dyDescent="0.25">
      <c r="A11" s="297">
        <v>5</v>
      </c>
      <c r="B11" s="1330"/>
      <c r="C11" s="1331"/>
      <c r="D11" s="1331"/>
      <c r="E11" s="1332"/>
      <c r="F11" s="339"/>
      <c r="G11" s="1140"/>
      <c r="H11" s="1329"/>
      <c r="I11" s="1329"/>
      <c r="J11" s="1329"/>
      <c r="K11" s="1329"/>
      <c r="L11" s="1329"/>
      <c r="M11" s="1142"/>
    </row>
    <row r="12" spans="1:13" x14ac:dyDescent="0.25">
      <c r="A12" s="305">
        <v>6</v>
      </c>
      <c r="B12" s="1346"/>
      <c r="C12" s="1346"/>
      <c r="D12" s="1346"/>
      <c r="E12" s="1347"/>
      <c r="F12" s="233"/>
      <c r="G12" s="1140"/>
      <c r="H12" s="1329"/>
      <c r="I12" s="1329"/>
      <c r="J12" s="1329"/>
      <c r="K12" s="1329"/>
      <c r="L12" s="1329"/>
      <c r="M12" s="1142"/>
    </row>
    <row r="13" spans="1:13" ht="15" customHeight="1" x14ac:dyDescent="0.25">
      <c r="A13" s="340" t="s">
        <v>34</v>
      </c>
      <c r="B13" s="340"/>
      <c r="C13" s="233"/>
      <c r="D13" s="233"/>
      <c r="E13" s="233"/>
      <c r="F13" s="233"/>
      <c r="G13" s="1140"/>
      <c r="H13" s="1329"/>
      <c r="I13" s="1329"/>
      <c r="J13" s="1329"/>
      <c r="K13" s="1329"/>
      <c r="L13" s="1329"/>
      <c r="M13" s="1142"/>
    </row>
    <row r="14" spans="1:13" ht="15" customHeight="1" x14ac:dyDescent="0.25">
      <c r="A14" s="1276"/>
      <c r="B14" s="1277"/>
      <c r="C14" s="1278" t="s">
        <v>352</v>
      </c>
      <c r="D14" s="1278"/>
      <c r="E14" s="1279"/>
      <c r="F14" s="233"/>
      <c r="G14" s="1140"/>
      <c r="H14" s="1329"/>
      <c r="I14" s="1329"/>
      <c r="J14" s="1329"/>
      <c r="K14" s="1329"/>
      <c r="L14" s="1329"/>
      <c r="M14" s="1142"/>
    </row>
    <row r="15" spans="1:13" ht="15" customHeight="1" x14ac:dyDescent="0.25">
      <c r="A15" s="1201"/>
      <c r="B15" s="1202"/>
      <c r="C15" s="1280" t="s">
        <v>467</v>
      </c>
      <c r="D15" s="1280"/>
      <c r="E15" s="1281"/>
      <c r="F15" s="233"/>
      <c r="G15" s="1140"/>
      <c r="H15" s="1329"/>
      <c r="I15" s="1329"/>
      <c r="J15" s="1329"/>
      <c r="K15" s="1329"/>
      <c r="L15" s="1329"/>
      <c r="M15" s="1142"/>
    </row>
    <row r="16" spans="1:13" ht="15" customHeight="1" x14ac:dyDescent="0.25">
      <c r="A16" s="1284" t="s">
        <v>824</v>
      </c>
      <c r="B16" s="1285"/>
      <c r="C16" s="1285"/>
      <c r="D16" s="1285"/>
      <c r="E16" s="1286"/>
      <c r="F16" s="233"/>
      <c r="G16" s="1140"/>
      <c r="H16" s="1329"/>
      <c r="I16" s="1329"/>
      <c r="J16" s="1329"/>
      <c r="K16" s="1329"/>
      <c r="L16" s="1329"/>
      <c r="M16" s="1142"/>
    </row>
    <row r="17" spans="1:22" ht="15" customHeight="1" x14ac:dyDescent="0.25">
      <c r="A17" s="1287"/>
      <c r="B17" s="1288"/>
      <c r="C17" s="1288"/>
      <c r="D17" s="1288"/>
      <c r="E17" s="1289"/>
      <c r="F17" s="233"/>
      <c r="G17" s="1140"/>
      <c r="H17" s="1329"/>
      <c r="I17" s="1329"/>
      <c r="J17" s="1329"/>
      <c r="K17" s="1329"/>
      <c r="L17" s="1329"/>
      <c r="M17" s="1142"/>
    </row>
    <row r="18" spans="1:22" x14ac:dyDescent="0.25">
      <c r="A18" s="1287"/>
      <c r="B18" s="1288"/>
      <c r="C18" s="1288"/>
      <c r="D18" s="1288"/>
      <c r="E18" s="1289"/>
      <c r="F18" s="233"/>
      <c r="G18" s="1140"/>
      <c r="H18" s="1329"/>
      <c r="I18" s="1329"/>
      <c r="J18" s="1329"/>
      <c r="K18" s="1329"/>
      <c r="L18" s="1329"/>
      <c r="M18" s="1142"/>
    </row>
    <row r="19" spans="1:22" ht="15" customHeight="1" x14ac:dyDescent="0.25">
      <c r="A19" s="1290"/>
      <c r="B19" s="1291"/>
      <c r="C19" s="1291"/>
      <c r="D19" s="1291"/>
      <c r="E19" s="1292"/>
      <c r="F19" s="233"/>
      <c r="G19" s="1143"/>
      <c r="H19" s="1144"/>
      <c r="I19" s="1144"/>
      <c r="J19" s="1144"/>
      <c r="K19" s="1144"/>
      <c r="L19" s="1144"/>
      <c r="M19" s="1145"/>
    </row>
    <row r="20" spans="1:22" x14ac:dyDescent="0.25">
      <c r="A20" s="233"/>
      <c r="B20" s="340"/>
      <c r="C20" s="233"/>
      <c r="D20" s="366"/>
      <c r="E20" s="233"/>
      <c r="F20" s="233"/>
      <c r="G20" s="233"/>
      <c r="H20" s="233"/>
      <c r="I20" s="233"/>
      <c r="J20" s="219"/>
      <c r="K20" s="367"/>
      <c r="L20" s="1291"/>
      <c r="M20" s="1292"/>
    </row>
    <row r="21" spans="1:22" s="1" customFormat="1" ht="60.75" customHeight="1" thickBot="1" x14ac:dyDescent="0.3">
      <c r="A21" s="119" t="s">
        <v>39</v>
      </c>
      <c r="B21" s="120" t="s">
        <v>40</v>
      </c>
      <c r="C21" s="120" t="s">
        <v>479</v>
      </c>
      <c r="D21" s="311" t="s">
        <v>272</v>
      </c>
      <c r="E21" s="311" t="s">
        <v>43</v>
      </c>
      <c r="F21" s="120" t="s">
        <v>273</v>
      </c>
      <c r="G21" s="1212" t="s">
        <v>416</v>
      </c>
      <c r="H21" s="1212"/>
      <c r="I21" s="120" t="s">
        <v>45</v>
      </c>
      <c r="J21" s="312" t="s">
        <v>271</v>
      </c>
      <c r="K21" s="120" t="s">
        <v>47</v>
      </c>
      <c r="L21" s="120" t="s">
        <v>270</v>
      </c>
      <c r="M21" s="317" t="s">
        <v>415</v>
      </c>
      <c r="P21"/>
      <c r="Q21"/>
      <c r="R21"/>
      <c r="S21"/>
      <c r="T21"/>
      <c r="U21"/>
      <c r="V21"/>
    </row>
    <row r="22" spans="1:22" ht="60.75" thickBot="1" x14ac:dyDescent="0.3">
      <c r="A22" s="1362" t="s">
        <v>296</v>
      </c>
      <c r="B22" s="86" t="s">
        <v>274</v>
      </c>
      <c r="C22" s="259" t="str">
        <f>VLOOKUP($B22,Activities!$A$10:$P$152,3,FALSE)</f>
        <v>Disconnection and Termination of Main Electrical Power</v>
      </c>
      <c r="D22" s="239" t="s">
        <v>49</v>
      </c>
      <c r="E22" s="240"/>
      <c r="F22" s="246" t="str">
        <f>VLOOKUP($B22,Activities!$A$10:$P$152,4,FALSE)</f>
        <v>Item</v>
      </c>
      <c r="G22" s="1269"/>
      <c r="H22" s="1270"/>
      <c r="I22" s="273">
        <f>VLOOKUP($B22,Activities!$A$10:$S$152,16,FALSE)</f>
        <v>1799.7514892963404</v>
      </c>
      <c r="J22" s="269"/>
      <c r="K22" s="388">
        <f t="shared" ref="K22:K27" si="0">IF(D22="Y",IF(J22="",I22*E22,J22*E22),0)</f>
        <v>0</v>
      </c>
      <c r="L22" s="248" t="str">
        <f t="shared" ref="L22:L27" si="1">IFERROR(IF(D22="Y",K22/$K$58,0%),"0.0%")</f>
        <v>0.0%</v>
      </c>
      <c r="M22" s="290" t="str">
        <f>VLOOKUP($B22,Activities!$A$10:$S$152,19,FALSE)</f>
        <v>This activity covers the main disconnection of Electrical Power to a small site or in the case of a very large mine a significant portion of the site.  Rate is per power supply connection. Excludes removal. Excludes power to site. (It is not applicable to the disconnection of a building etc)</v>
      </c>
    </row>
    <row r="23" spans="1:22" ht="72.75" thickBot="1" x14ac:dyDescent="0.4">
      <c r="A23" s="1389"/>
      <c r="B23" s="86" t="s">
        <v>277</v>
      </c>
      <c r="C23" s="259" t="str">
        <f>VLOOKUP($B23,Activities!$A$10:$P$152,3,FALSE)</f>
        <v>Substations and Transformers - Demolish and Remove</v>
      </c>
      <c r="D23" s="239" t="s">
        <v>49</v>
      </c>
      <c r="E23" s="240"/>
      <c r="F23" s="246" t="str">
        <f>VLOOKUP($B23,Activities!$A$10:$P$152,4,FALSE)</f>
        <v>m2</v>
      </c>
      <c r="G23" s="1269"/>
      <c r="H23" s="1270"/>
      <c r="I23" s="272">
        <f>VLOOKUP($B23,Activities!$A$10:$S$152,16,FALSE)</f>
        <v>55.0427104972511</v>
      </c>
      <c r="J23" s="269"/>
      <c r="K23" s="388">
        <f t="shared" si="0"/>
        <v>0</v>
      </c>
      <c r="L23" s="248" t="str">
        <f t="shared" si="1"/>
        <v>0.0%</v>
      </c>
      <c r="M23" s="290" t="str">
        <f>VLOOKUP($B23,Activities!$A$10:$S$152,19,FALSE)</f>
        <v>This activity covers the main disconnection of Electrical Power to a small site or in the case of a very large mine a significant portion of the site.  (It is not applicable to the disconnection of a building etc)  The substation including buildings and pads are demolished and any item not salvageable is dumped on the mine site in a designated area.</v>
      </c>
      <c r="Q23" s="55"/>
    </row>
    <row r="24" spans="1:22" ht="72.75" thickBot="1" x14ac:dyDescent="0.3">
      <c r="A24" s="1389"/>
      <c r="B24" s="86" t="s">
        <v>279</v>
      </c>
      <c r="C24" s="259" t="str">
        <f>VLOOKUP($B24,Activities!$A$10:$P$152,3,FALSE)</f>
        <v xml:space="preserve">Removal of Underground Cables </v>
      </c>
      <c r="D24" s="239" t="s">
        <v>49</v>
      </c>
      <c r="E24" s="240"/>
      <c r="F24" s="246" t="str">
        <f>VLOOKUP($B24,Activities!$A$10:$P$152,4,FALSE)</f>
        <v>lin m</v>
      </c>
      <c r="G24" s="1269"/>
      <c r="H24" s="1270"/>
      <c r="I24" s="272">
        <f>VLOOKUP($B24,Activities!$A$10:$S$152,16,FALSE)</f>
        <v>32.813721301510533</v>
      </c>
      <c r="J24" s="269"/>
      <c r="K24" s="388">
        <f t="shared" si="0"/>
        <v>0</v>
      </c>
      <c r="L24" s="248" t="str">
        <f t="shared" si="1"/>
        <v>0.0%</v>
      </c>
      <c r="M24" s="290" t="str">
        <f>VLOOKUP($B24,Activities!$A$10:$S$152,19,FALSE)</f>
        <v>This activity covers the removal of underground electrical cables from a site.  Specifically cables from a sub-station to the plant, to the offices, etc are included in this activity.  It is based on digging up and pulling up the cables and loading onto a truck for disposal either off-site or on site.  It also includes making good the trench where the cables have been pulled.</v>
      </c>
      <c r="Q24" s="126"/>
      <c r="S24" s="126"/>
      <c r="T24" s="126"/>
    </row>
    <row r="25" spans="1:22" ht="62.25" customHeight="1" thickBot="1" x14ac:dyDescent="0.3">
      <c r="A25" s="1389"/>
      <c r="B25" s="86" t="s">
        <v>604</v>
      </c>
      <c r="C25" s="259" t="str">
        <f>VLOOKUP($B25,Activities!$A$10:$P$152,3,FALSE)</f>
        <v>Removal of low/medium voltage powerlines including disconnection</v>
      </c>
      <c r="D25" s="239" t="s">
        <v>49</v>
      </c>
      <c r="E25" s="240"/>
      <c r="F25" s="246" t="str">
        <f>VLOOKUP($B25,Activities!$A$10:$P$152,4,FALSE)</f>
        <v>km</v>
      </c>
      <c r="G25" s="1269"/>
      <c r="H25" s="1270"/>
      <c r="I25" s="273">
        <f>VLOOKUP($B25,Activities!$A$10:$S$152,16,FALSE)</f>
        <v>18422.585794094175</v>
      </c>
      <c r="J25" s="269"/>
      <c r="K25" s="388">
        <f t="shared" si="0"/>
        <v>0</v>
      </c>
      <c r="L25" s="248" t="str">
        <f t="shared" si="1"/>
        <v>0.0%</v>
      </c>
      <c r="M25" s="290" t="str">
        <f>VLOOKUP($B25,Activities!$A$10:$S$152,19,FALSE)</f>
        <v>Activity includes the removal of low/medium voltage powerlines including disconnection, rolling up the wires and removing the poles - Applies to power lines on stobie, concrete or similar poles.
Does not include the removal of substations</v>
      </c>
      <c r="S25" s="4"/>
      <c r="T25" s="4"/>
      <c r="V25" s="4"/>
    </row>
    <row r="26" spans="1:22" ht="63.75" thickBot="1" x14ac:dyDescent="0.3">
      <c r="A26" s="1389"/>
      <c r="B26" s="86" t="s">
        <v>606</v>
      </c>
      <c r="C26" s="259" t="str">
        <f>VLOOKUP($B26,Activities!$A$10:$P$152,3,FALSE)</f>
        <v>Removal of power lines on tower or lattice structures (this includes disconnection, rolling up the wires and removing the structures)</v>
      </c>
      <c r="D26" s="239" t="s">
        <v>49</v>
      </c>
      <c r="E26" s="240"/>
      <c r="F26" s="246" t="str">
        <f>VLOOKUP($B26,Activities!$A$10:$P$152,4,FALSE)</f>
        <v>Km</v>
      </c>
      <c r="G26" s="1269"/>
      <c r="H26" s="1270"/>
      <c r="I26" s="273">
        <f>VLOOKUP($B26,Activities!$A$10:$S$152,16,FALSE)</f>
        <v>122817.2386272945</v>
      </c>
      <c r="J26" s="269"/>
      <c r="K26" s="388">
        <f t="shared" si="0"/>
        <v>0</v>
      </c>
      <c r="L26" s="248" t="str">
        <f t="shared" si="1"/>
        <v>0.0%</v>
      </c>
      <c r="M26" s="290" t="str">
        <f>VLOOKUP($B26,Activities!$A$10:$S$152,19,FALSE)</f>
        <v>Removal of power lines on tower or lattice structures (this includes disconnection, rolling up the wires and removing the structures) - Applies to power lines on steel tower and steel lattice structures assuming 3 towers / km.
Does not include the removal of substations</v>
      </c>
      <c r="S26" s="4"/>
      <c r="T26" s="4"/>
      <c r="V26" s="4"/>
    </row>
    <row r="27" spans="1:22" ht="62.25" customHeight="1" thickBot="1" x14ac:dyDescent="0.3">
      <c r="A27" s="1390"/>
      <c r="B27" s="102" t="s">
        <v>252</v>
      </c>
      <c r="C27" s="259" t="str">
        <f>VLOOKUP($B27,Activities!$A$10:$P$152,3,FALSE)</f>
        <v>Demolition of Industrial and Other buildings and remove waste to designated dump on site.</v>
      </c>
      <c r="D27" s="239" t="s">
        <v>49</v>
      </c>
      <c r="E27" s="240"/>
      <c r="F27" s="246" t="str">
        <f>VLOOKUP($B27,Activities!$A$10:$P$152,4,FALSE)</f>
        <v>m2</v>
      </c>
      <c r="G27" s="1269"/>
      <c r="H27" s="1270"/>
      <c r="I27" s="272">
        <f>VLOOKUP($B27,Activities!$A$10:$S$152,16,FALSE)</f>
        <v>62.958526402902507</v>
      </c>
      <c r="J27" s="269"/>
      <c r="K27" s="388">
        <f t="shared" si="0"/>
        <v>0</v>
      </c>
      <c r="L27" s="248" t="str">
        <f t="shared" si="1"/>
        <v>0.0%</v>
      </c>
      <c r="M27" s="290" t="str">
        <f>VLOOKUP($B27,Activities!$A$10:$S$152,19,FALSE)</f>
        <v xml:space="preserve">This activity covers the demolition of industrial and other buildings (up to 5 levels) on the site that are not salvageable or removed from the site.  The buildings are demolished and transported to a designated dump on the mine site. </v>
      </c>
      <c r="S27" s="4"/>
      <c r="T27" s="4"/>
      <c r="V27" s="4"/>
    </row>
    <row r="28" spans="1:22" ht="15.75" thickBot="1" x14ac:dyDescent="0.3">
      <c r="A28" s="111" t="s">
        <v>53</v>
      </c>
      <c r="B28" s="112" t="str">
        <f>A22</f>
        <v>Power Infrastructure</v>
      </c>
      <c r="C28" s="103"/>
      <c r="D28" s="24"/>
      <c r="E28" s="25"/>
      <c r="F28" s="24"/>
      <c r="G28" s="24"/>
      <c r="H28" s="24"/>
      <c r="I28" s="26"/>
      <c r="J28" s="27"/>
      <c r="K28" s="28">
        <f>SUM(K22:K26)</f>
        <v>0</v>
      </c>
      <c r="L28" s="24"/>
      <c r="M28" s="43"/>
      <c r="S28" s="4"/>
      <c r="T28" s="4"/>
      <c r="V28" s="4"/>
    </row>
    <row r="29" spans="1:22" ht="63.75" thickBot="1" x14ac:dyDescent="0.3">
      <c r="A29" s="1132" t="s">
        <v>297</v>
      </c>
      <c r="B29" s="86" t="s">
        <v>616</v>
      </c>
      <c r="C29" s="259" t="str">
        <f>VLOOKUP($B29,Activities!$A$10:$P$152,3,FALSE)</f>
        <v>Disconnect and terminate services at remote areas  (i.e., pump stations, remote workshops, sewage treatment plant, etc.)</v>
      </c>
      <c r="D29" s="239" t="s">
        <v>49</v>
      </c>
      <c r="E29" s="240"/>
      <c r="F29" s="246" t="str">
        <f>VLOOKUP($B29,Activities!$A$10:$P$152,4,FALSE)</f>
        <v>Item</v>
      </c>
      <c r="G29" s="1269"/>
      <c r="H29" s="1270"/>
      <c r="I29" s="273">
        <f>VLOOKUP($B29,Activities!$A$10:$S$152,16,FALSE)</f>
        <v>7184.8084596967292</v>
      </c>
      <c r="J29" s="269"/>
      <c r="K29" s="388">
        <f>IF(D29="Y",IF(J29="",I29*E29,J29*E29),0)</f>
        <v>0</v>
      </c>
      <c r="L29" s="248" t="str">
        <f>IFERROR(IF(D29="Y",K29/$K$58,0%),"0.0%")</f>
        <v>0.0%</v>
      </c>
      <c r="M29" s="290" t="str">
        <f>VLOOKUP($B29,Activities!$A$10:$S$152,19,FALSE)</f>
        <v>For disconnection of all services, at building boundaries, physical cut at the point of attachment or distribution location.  If infrastructure is not consolidated (i.e., administration, camp and workshops are in separate places), consider multiple disconnection fees.</v>
      </c>
      <c r="S29" s="4"/>
      <c r="T29" s="4"/>
      <c r="V29" s="4"/>
    </row>
    <row r="30" spans="1:22" ht="64.5" customHeight="1" thickBot="1" x14ac:dyDescent="0.3">
      <c r="A30" s="1133"/>
      <c r="B30" s="86" t="s">
        <v>719</v>
      </c>
      <c r="C30" s="259" t="str">
        <f>VLOOKUP($B30,Activities!$A$10:$P$152,3,FALSE)</f>
        <v>Wastewater Treatment Plant (Tertiary Filtration System) - demolish and remove</v>
      </c>
      <c r="D30" s="239" t="s">
        <v>49</v>
      </c>
      <c r="E30" s="240"/>
      <c r="F30" s="246" t="str">
        <f>VLOOKUP($B30,Activities!$A$10:$P$152,4,FALSE)</f>
        <v>Ha</v>
      </c>
      <c r="G30" s="1269"/>
      <c r="H30" s="1270"/>
      <c r="I30" s="273">
        <f>VLOOKUP($B30,Activities!$A$10:$S$152,16,FALSE)</f>
        <v>12437.827324985241</v>
      </c>
      <c r="J30" s="269"/>
      <c r="K30" s="388">
        <f>IF(D30="Y",IF(J30="",I30*E30,J30*E30),0)</f>
        <v>0</v>
      </c>
      <c r="L30" s="248" t="str">
        <f>IFERROR(IF(D30="Y",K30/$K$58,0%),"0.0%")</f>
        <v>0.0%</v>
      </c>
      <c r="M30" s="290" t="str">
        <f>VLOOKUP($B30,Activities!$A$10:$S$152,19,FALSE)</f>
        <v>This activity is based on the type and capacity of the plant.  Rate is based on plant capacity in megalitres/day.  Includes the full demolition and removal to a designated dump on site.  8 modules to remove.</v>
      </c>
      <c r="S30" s="4"/>
      <c r="T30" s="4"/>
      <c r="V30" s="4"/>
    </row>
    <row r="31" spans="1:22" ht="79.5" thickBot="1" x14ac:dyDescent="0.3">
      <c r="A31" s="1133"/>
      <c r="B31" s="86" t="s">
        <v>731</v>
      </c>
      <c r="C31" s="259" t="str">
        <f>VLOOKUP($B31,Activities!$A$10:$P$152,3,FALSE)</f>
        <v>Water Treatment Plant - RO desalination or ion exchanger system - demolish and remove - based on plant capacity in Mega Litres a Day</v>
      </c>
      <c r="D31" s="239" t="s">
        <v>49</v>
      </c>
      <c r="E31" s="240"/>
      <c r="F31" s="246" t="str">
        <f>VLOOKUP($B31,Activities!$A$10:$P$152,4,FALSE)</f>
        <v>MLD</v>
      </c>
      <c r="G31" s="1269"/>
      <c r="H31" s="1270"/>
      <c r="I31" s="273">
        <f>VLOOKUP($B31,Activities!$A$10:$S$152,16,FALSE)</f>
        <v>7609.2109368736865</v>
      </c>
      <c r="J31" s="269"/>
      <c r="K31" s="388">
        <f>IF(D31="Y",IF(J31="",I31*E31,J31*E31),0)</f>
        <v>0</v>
      </c>
      <c r="L31" s="248" t="str">
        <f>IFERROR(IF(D31="Y",K31/$K$58,0%),"0.0%")</f>
        <v>0.0%</v>
      </c>
      <c r="M31" s="290" t="str">
        <f>VLOOKUP($B31,Activities!$A$10:$S$152,19,FALSE)</f>
        <v>The activity is based on a RO type of water treatment plant.  Whilst there are a variety of water treatment plants, RO plants are more common and have been assessed as average in cost to demolish and remove.</v>
      </c>
      <c r="S31" s="4"/>
      <c r="T31" s="4"/>
      <c r="V31" s="4"/>
    </row>
    <row r="32" spans="1:22" ht="63.75" thickBot="1" x14ac:dyDescent="0.3">
      <c r="A32" s="1133"/>
      <c r="B32" s="86" t="s">
        <v>732</v>
      </c>
      <c r="C32" s="259" t="str">
        <f>VLOOKUP($B32,Activities!$A$10:$P$152,3,FALSE)</f>
        <v xml:space="preserve">Wastewater Treatment Plant - anoxic and aeration tank (activated sludge process) - demolish and remove </v>
      </c>
      <c r="D32" s="239" t="s">
        <v>49</v>
      </c>
      <c r="E32" s="240"/>
      <c r="F32" s="246" t="str">
        <f>VLOOKUP($B32,Activities!$A$10:$P$152,4,FALSE)</f>
        <v>MLD</v>
      </c>
      <c r="G32" s="1269"/>
      <c r="H32" s="1270"/>
      <c r="I32" s="273">
        <f>VLOOKUP($B32,Activities!$A$10:$S$152,16,FALSE)</f>
        <v>23336.079446466923</v>
      </c>
      <c r="J32" s="269"/>
      <c r="K32" s="388">
        <f t="shared" ref="K32:K40" si="2">IF(D32="Y",IF(J32="",I32*E32,J32*E32),0)</f>
        <v>0</v>
      </c>
      <c r="L32" s="248" t="str">
        <f t="shared" ref="L32:L39" si="3">IFERROR(IF(D32="Y",K32/$K$58,0%),"0.0%")</f>
        <v>0.0%</v>
      </c>
      <c r="M32" s="290" t="str">
        <f>VLOOKUP($B32,Activities!$A$10:$S$152,19,FALSE)</f>
        <v>This activity is based on the type and capacity of the plant.  Rate is based on plant capacity in megalitres/day.  Includes the full demolition and removal to a designated dump on site.</v>
      </c>
    </row>
    <row r="33" spans="1:19" ht="72.75" thickBot="1" x14ac:dyDescent="0.3">
      <c r="A33" s="1133"/>
      <c r="B33" s="245" t="s">
        <v>405</v>
      </c>
      <c r="C33" s="259" t="str">
        <f>VLOOKUP($B33,Activities!$A$10:$P$152,3,FALSE)</f>
        <v>Removal of a dam liner and minor pipework to enable the reinstatement of a water dam or other storage facility.</v>
      </c>
      <c r="D33" s="239" t="s">
        <v>49</v>
      </c>
      <c r="E33" s="240"/>
      <c r="F33" s="246" t="str">
        <f>VLOOKUP($B33,Activities!$A$10:$P$152,4,FALSE)</f>
        <v>Item</v>
      </c>
      <c r="G33" s="1269"/>
      <c r="H33" s="1270"/>
      <c r="I33" s="273">
        <f>VLOOKUP($B33,Activities!$A$10:$S$152,16,FALSE)</f>
        <v>2413.2207421290032</v>
      </c>
      <c r="J33" s="269"/>
      <c r="K33" s="388">
        <f t="shared" si="2"/>
        <v>0</v>
      </c>
      <c r="L33" s="248" t="str">
        <f t="shared" si="3"/>
        <v>0.0%</v>
      </c>
      <c r="M33" s="290" t="str">
        <f>VLOOKUP($B33,Activities!$A$10:$S$152,19,FALSE)</f>
        <v>This activity involves the removal and tidying up of a water storage area prior to bulk movement of material to reinstate the area back to natural surface.  It also includes the removal of any pipes, pumps and other items associated with the use of the dam.  IT is assumed that the liner if present will be cut and folded onto itself in the centre of the dam so that the liner can be buried.</v>
      </c>
    </row>
    <row r="34" spans="1:19" ht="60.75" thickBot="1" x14ac:dyDescent="0.3">
      <c r="A34" s="1133"/>
      <c r="B34" s="245" t="s">
        <v>289</v>
      </c>
      <c r="C34" s="259" t="str">
        <f>VLOOKUP($B34,Activities!$A$10:$P$152,3,FALSE)</f>
        <v xml:space="preserve">Removal and demolition of Pump Station </v>
      </c>
      <c r="D34" s="239" t="s">
        <v>49</v>
      </c>
      <c r="E34" s="240"/>
      <c r="F34" s="246" t="str">
        <f>VLOOKUP($B34,Activities!$A$10:$P$152,4,FALSE)</f>
        <v>Item</v>
      </c>
      <c r="G34" s="1269"/>
      <c r="H34" s="1270"/>
      <c r="I34" s="273">
        <f>VLOOKUP($B34,Activities!$A$10:$S$152,16,FALSE)</f>
        <v>1580.3092850475025</v>
      </c>
      <c r="J34" s="269"/>
      <c r="K34" s="388">
        <f t="shared" si="2"/>
        <v>0</v>
      </c>
      <c r="L34" s="248" t="str">
        <f t="shared" si="3"/>
        <v>0.0%</v>
      </c>
      <c r="M34" s="290" t="str">
        <f>VLOOKUP($B34,Activities!$A$10:$S$152,19,FALSE)</f>
        <v>This activity involves the removal and demolition of an above ground pump station used in connection with a borefield and or wellhead injection system. ( It does not include the demolition of a substantial pumping structure or building which will need additional cost estimates)</v>
      </c>
    </row>
    <row r="35" spans="1:19" ht="72.75" thickBot="1" x14ac:dyDescent="0.3">
      <c r="A35" s="1133"/>
      <c r="B35" s="102" t="s">
        <v>233</v>
      </c>
      <c r="C35" s="259" t="str">
        <f>VLOOKUP($B35,Activities!$A$10:$P$152,3,FALSE)</f>
        <v>Demolish and Removal of Pipework - Plastic (Borefields, tailing facilities, etc)</v>
      </c>
      <c r="D35" s="239" t="s">
        <v>49</v>
      </c>
      <c r="E35" s="240"/>
      <c r="F35" s="246" t="str">
        <f>VLOOKUP($B35,Activities!$A$10:$P$152,4,FALSE)</f>
        <v>m</v>
      </c>
      <c r="G35" s="1269"/>
      <c r="H35" s="1270"/>
      <c r="I35" s="272">
        <f>VLOOKUP($B35,Activities!$A$10:$S$152,16,FALSE)</f>
        <v>13.119651535666517</v>
      </c>
      <c r="J35" s="269"/>
      <c r="K35" s="388">
        <f t="shared" si="2"/>
        <v>0</v>
      </c>
      <c r="L35" s="248" t="str">
        <f t="shared" si="3"/>
        <v>0.0%</v>
      </c>
      <c r="M35" s="290" t="str">
        <f>VLOOKUP($B35,Activities!$A$10:$S$152,19,FALSE)</f>
        <v>The activity consists of removing all pipework within the area and disposing of this pipework in an approved dump on the site.  The pipework should be cut up or shredded.  The activity assumes that the pipe is &lt;200mm and is plastic in nature.  If the pipe is very large or steel a separate demolition price should be prepared.  It does not inlcude pipework within a process plant.</v>
      </c>
    </row>
    <row r="36" spans="1:19" ht="60.75" thickBot="1" x14ac:dyDescent="0.3">
      <c r="A36" s="1133"/>
      <c r="B36" s="102" t="s">
        <v>434</v>
      </c>
      <c r="C36" s="259" t="str">
        <f>VLOOKUP($B36,Activities!$A$10:$P$152,3,FALSE)</f>
        <v>Removal and Disposal of Major Trunk Pipelines</v>
      </c>
      <c r="D36" s="239" t="s">
        <v>49</v>
      </c>
      <c r="E36" s="240"/>
      <c r="F36" s="246" t="str">
        <f>VLOOKUP($B36,Activities!$A$10:$P$152,4,FALSE)</f>
        <v>m</v>
      </c>
      <c r="G36" s="1269"/>
      <c r="H36" s="1270"/>
      <c r="I36" s="272">
        <f>VLOOKUP($B36,Activities!$A$10:$S$152,16,FALSE)</f>
        <v>32.467068764228138</v>
      </c>
      <c r="J36" s="269"/>
      <c r="K36" s="388">
        <f t="shared" si="2"/>
        <v>0</v>
      </c>
      <c r="L36" s="248" t="str">
        <f t="shared" si="3"/>
        <v>0.0%</v>
      </c>
      <c r="M36" s="290" t="str">
        <f>VLOOKUP($B36,Activities!$A$10:$S$152,19,FALSE)</f>
        <v>The activity relates specifically to the removal and disposal of trunk pipelines assumed to be plastic in nature but greater than 200 mm in diameter.   The pipework should be cut up or shredded.   If the pipe is very large or steel a separate demolition price should be prepared.  It does not inlcude pipework within a process plant.</v>
      </c>
    </row>
    <row r="37" spans="1:19" ht="48.75" thickBot="1" x14ac:dyDescent="0.3">
      <c r="A37" s="1133"/>
      <c r="B37" s="102" t="s">
        <v>283</v>
      </c>
      <c r="C37" s="259" t="str">
        <f>VLOOKUP($B37,Activities!$A$10:$P$152,3,FALSE)</f>
        <v>Demolition and Removal of Water Tanks (Metal or Concrete)</v>
      </c>
      <c r="D37" s="239" t="s">
        <v>49</v>
      </c>
      <c r="E37" s="240"/>
      <c r="F37" s="246" t="str">
        <f>VLOOKUP($B37,Activities!$A$10:$P$152,4,FALSE)</f>
        <v>m2</v>
      </c>
      <c r="G37" s="1269"/>
      <c r="H37" s="1270"/>
      <c r="I37" s="273">
        <f>VLOOKUP($B37,Activities!$A$10:$S$152,16,FALSE)</f>
        <v>298.27766728339105</v>
      </c>
      <c r="J37" s="269"/>
      <c r="K37" s="388">
        <f t="shared" si="2"/>
        <v>0</v>
      </c>
      <c r="L37" s="248" t="str">
        <f t="shared" si="3"/>
        <v>0.0%</v>
      </c>
      <c r="M37" s="290" t="str">
        <f>VLOOKUP($B37,Activities!$A$10:$S$152,19,FALSE)</f>
        <v xml:space="preserve">This activity covers the demolition and removal of tanks used in either the fresh or waste water treatment plants.  Rate assumes already decommissioned (drained and cleaned ready for demolition). </v>
      </c>
      <c r="O37" s="47"/>
      <c r="P37" s="47"/>
      <c r="Q37" s="47"/>
      <c r="R37" s="47"/>
      <c r="S37" s="47"/>
    </row>
    <row r="38" spans="1:19" ht="48.75" thickBot="1" x14ac:dyDescent="0.3">
      <c r="A38" s="1133"/>
      <c r="B38" s="102" t="s">
        <v>232</v>
      </c>
      <c r="C38" s="259" t="str">
        <f>VLOOKUP($B38,Activities!$A$10:$P$152,3,FALSE)</f>
        <v>Demolish heavy duty concrete structures, crusher and other equipment footings</v>
      </c>
      <c r="D38" s="239" t="s">
        <v>49</v>
      </c>
      <c r="E38" s="240"/>
      <c r="F38" s="246" t="str">
        <f>VLOOKUP($B38,Activities!$A$10:$P$152,4,FALSE)</f>
        <v>m2</v>
      </c>
      <c r="G38" s="1269"/>
      <c r="H38" s="1270"/>
      <c r="I38" s="273">
        <f>VLOOKUP($B38,Activities!$A$10:$S$152,16,FALSE)</f>
        <v>325.92646713928127</v>
      </c>
      <c r="J38" s="269"/>
      <c r="K38" s="388">
        <f t="shared" si="2"/>
        <v>0</v>
      </c>
      <c r="L38" s="248" t="str">
        <f t="shared" si="3"/>
        <v>0.0%</v>
      </c>
      <c r="M38" s="290" t="str">
        <f>VLOOKUP($B38,Activities!$A$10:$S$152,19,FALSE)</f>
        <v xml:space="preserve">The activity include the demolition and removal of the the heavy duty concrete footings and bases used for the support of major items of plant and equipment primarily around the processing plant.  </v>
      </c>
      <c r="P38" s="47"/>
      <c r="Q38" s="47"/>
      <c r="R38" s="47"/>
      <c r="S38" s="47"/>
    </row>
    <row r="39" spans="1:19" ht="48.75" thickBot="1" x14ac:dyDescent="0.3">
      <c r="A39" s="1133"/>
      <c r="B39" s="475" t="s">
        <v>79</v>
      </c>
      <c r="C39" s="259" t="str">
        <f>VLOOKUP($B39,Activities!$A$10:$P$152,3,FALSE)</f>
        <v>Minor Shaping across a Dump or Disturbed Area</v>
      </c>
      <c r="D39" s="239" t="s">
        <v>49</v>
      </c>
      <c r="E39" s="240"/>
      <c r="F39" s="246" t="str">
        <f>VLOOKUP($B39,Activities!$A$10:$P$152,4,FALSE)</f>
        <v>Ha</v>
      </c>
      <c r="G39" s="1269"/>
      <c r="H39" s="1270"/>
      <c r="I39" s="273">
        <f>VLOOKUP($B39,Activities!$A$10:$S$152,16,FALSE)</f>
        <v>2987.2221197728068</v>
      </c>
      <c r="J39" s="269"/>
      <c r="K39" s="388">
        <f t="shared" si="2"/>
        <v>0</v>
      </c>
      <c r="L39" s="248" t="str">
        <f t="shared" si="3"/>
        <v>0.0%</v>
      </c>
      <c r="M39" s="290" t="str">
        <f>VLOOKUP($B39,Activities!$A$10:$S$152,19,FALSE)</f>
        <v xml:space="preserve">This activity covers minor shaping shifting pushing across a dump or disturbed area.  It is based on a rate per hectare.  It covers area where there needs to be some clearing work, tidying up of disturbed ground,  but not just bulk pushing </v>
      </c>
    </row>
    <row r="40" spans="1:19" ht="50.25" customHeight="1" thickBot="1" x14ac:dyDescent="0.3">
      <c r="A40" s="1134"/>
      <c r="B40" s="245" t="s">
        <v>21</v>
      </c>
      <c r="C40" s="259" t="str">
        <f>VLOOKUP($B40,Activities!$A$10:$P$152,3,FALSE)</f>
        <v>Scarification to promote vegetation growth</v>
      </c>
      <c r="D40" s="239" t="s">
        <v>49</v>
      </c>
      <c r="E40" s="241"/>
      <c r="F40" s="246" t="str">
        <f>VLOOKUP($B40,Activities!$A$10:$P$152,4,FALSE)</f>
        <v>Ha</v>
      </c>
      <c r="G40" s="1269"/>
      <c r="H40" s="1270"/>
      <c r="I40" s="272">
        <f>Activities!P18</f>
        <v>323.54530924221694</v>
      </c>
      <c r="J40" s="269"/>
      <c r="K40" s="388">
        <f t="shared" si="2"/>
        <v>0</v>
      </c>
      <c r="L40" s="248" t="str">
        <f>IFERROR(IF(D40="Y",K40/$K$60,0%),"0.0%")</f>
        <v>0.0%</v>
      </c>
      <c r="M40" s="290" t="str">
        <f>VLOOKUP($B40,Activities!$A$10:$S$152,19,FALSE)</f>
        <v xml:space="preserve">This activity is undertaken in preparation for the seeding of a particular area.  </v>
      </c>
    </row>
    <row r="41" spans="1:19" ht="15.75" thickBot="1" x14ac:dyDescent="0.3">
      <c r="A41" s="111" t="s">
        <v>53</v>
      </c>
      <c r="B41" s="112" t="str">
        <f>A29</f>
        <v>Water and Sewage Infrastructure</v>
      </c>
      <c r="C41" s="103"/>
      <c r="D41" s="24"/>
      <c r="E41" s="25"/>
      <c r="F41" s="24"/>
      <c r="G41" s="24"/>
      <c r="H41" s="24"/>
      <c r="I41" s="26"/>
      <c r="J41" s="27"/>
      <c r="K41" s="28">
        <f>SUM(K29:K39)</f>
        <v>0</v>
      </c>
      <c r="L41" s="24"/>
      <c r="M41" s="43"/>
    </row>
    <row r="42" spans="1:19" ht="48.75" thickBot="1" x14ac:dyDescent="0.3">
      <c r="A42" s="1132" t="s">
        <v>429</v>
      </c>
      <c r="B42" s="102" t="s">
        <v>228</v>
      </c>
      <c r="C42" s="259" t="str">
        <f>VLOOKUP($B42,Activities!$A$10:$P$152,3,FALSE)</f>
        <v>Disconnection of Services to Area</v>
      </c>
      <c r="D42" s="239" t="s">
        <v>49</v>
      </c>
      <c r="E42" s="240"/>
      <c r="F42" s="246" t="str">
        <f>VLOOKUP($B42,Activities!$A$10:$P$152,4,FALSE)</f>
        <v>Item</v>
      </c>
      <c r="G42" s="1269"/>
      <c r="H42" s="1270"/>
      <c r="I42" s="273">
        <f>VLOOKUP($B42,Activities!$A$10:$S$152,16,FALSE)</f>
        <v>3678.6008957627482</v>
      </c>
      <c r="J42" s="269"/>
      <c r="K42" s="388">
        <f t="shared" ref="K42:K44" si="4">IF(D42="Y",IF(J42="",I42*E42,J42*E42),0)</f>
        <v>0</v>
      </c>
      <c r="L42" s="248" t="str">
        <f t="shared" ref="L42:L44" si="5">IFERROR(IF(D42="Y",K42/$K$58,0%),"0.0%")</f>
        <v>0.0%</v>
      </c>
      <c r="M42" s="290" t="str">
        <f>VLOOKUP($B42,Activities!$A$10:$S$152,19,FALSE)</f>
        <v>This Activity includes disconnecting and terminating all services such as power, water and sewer.  It covers the disconnection costs for an area.  Within a mine site there may be a number of areas which need to have services disconnected.</v>
      </c>
    </row>
    <row r="43" spans="1:19" ht="72.75" thickBot="1" x14ac:dyDescent="0.3">
      <c r="A43" s="1133"/>
      <c r="B43" s="102" t="s">
        <v>233</v>
      </c>
      <c r="C43" s="259" t="str">
        <f>VLOOKUP($B43,Activities!$A$10:$P$152,3,FALSE)</f>
        <v>Demolish and Removal of Pipework - Plastic (Borefields, tailing facilities, etc)</v>
      </c>
      <c r="D43" s="239" t="s">
        <v>49</v>
      </c>
      <c r="E43" s="240"/>
      <c r="F43" s="246" t="str">
        <f>VLOOKUP($B43,Activities!$A$10:$P$152,4,FALSE)</f>
        <v>m</v>
      </c>
      <c r="G43" s="1269"/>
      <c r="H43" s="1270"/>
      <c r="I43" s="272">
        <f>VLOOKUP($B43,Activities!$A$10:$S$152,16,FALSE)</f>
        <v>13.119651535666517</v>
      </c>
      <c r="J43" s="269"/>
      <c r="K43" s="388">
        <f t="shared" si="4"/>
        <v>0</v>
      </c>
      <c r="L43" s="248" t="str">
        <f t="shared" si="5"/>
        <v>0.0%</v>
      </c>
      <c r="M43" s="290" t="str">
        <f>VLOOKUP($B43,Activities!$A$10:$S$152,19,FALSE)</f>
        <v>The activity consists of removing all pipework within the area and disposing of this pipework in an approved dump on the site.  The pipework should be cut up or shredded.  The activity assumes that the pipe is &lt;200mm and is plastic in nature.  If the pipe is very large or steel a separate demolition price should be prepared.  It does not inlcude pipework within a process plant.</v>
      </c>
    </row>
    <row r="44" spans="1:19" ht="60.75" thickBot="1" x14ac:dyDescent="0.3">
      <c r="A44" s="1133"/>
      <c r="B44" s="102" t="s">
        <v>287</v>
      </c>
      <c r="C44" s="259" t="str">
        <f>VLOOKUP($B44,Activities!$A$10:$P$152,3,FALSE)</f>
        <v>Removal of submersible pumps (and/or Injection piping) from a bore</v>
      </c>
      <c r="D44" s="239" t="s">
        <v>49</v>
      </c>
      <c r="E44" s="240"/>
      <c r="F44" s="246" t="str">
        <f>VLOOKUP($B44,Activities!$A$10:$P$152,4,FALSE)</f>
        <v>Item</v>
      </c>
      <c r="G44" s="1269"/>
      <c r="H44" s="1270"/>
      <c r="I44" s="273">
        <f>VLOOKUP($B44,Activities!$A$10:$S$152,16,FALSE)</f>
        <v>984.19319545240057</v>
      </c>
      <c r="J44" s="269"/>
      <c r="K44" s="388">
        <f t="shared" si="4"/>
        <v>0</v>
      </c>
      <c r="L44" s="248" t="str">
        <f t="shared" si="5"/>
        <v>0.0%</v>
      </c>
      <c r="M44" s="290" t="str">
        <f>VLOOKUP($B44,Activities!$A$10:$S$152,19,FALSE)</f>
        <v>This activity covers the removal of a submersible pump from a bore including the attached downhole piping and can be applied to any bore hole that has specific downhole injection equipment.  The activity makes an allowance for the removal of the power cable from the bore to any well housing.</v>
      </c>
    </row>
    <row r="45" spans="1:19" ht="45.75" thickBot="1" x14ac:dyDescent="0.3">
      <c r="A45" s="1133"/>
      <c r="B45" s="102" t="s">
        <v>288</v>
      </c>
      <c r="C45" s="259" t="str">
        <f>VLOOKUP($B45,Activities!$A$10:$P$152,3,FALSE)</f>
        <v>Sealing and Plugging of a Well or Bore using Grout or Concrete</v>
      </c>
      <c r="D45" s="239" t="s">
        <v>49</v>
      </c>
      <c r="E45" s="240"/>
      <c r="F45" s="246" t="str">
        <f>VLOOKUP($B45,Activities!$A$10:$P$152,4,FALSE)</f>
        <v>No. of</v>
      </c>
      <c r="G45" s="533" t="s">
        <v>430</v>
      </c>
      <c r="H45" s="168"/>
      <c r="I45" s="272">
        <f>VLOOKUP($B45,Activities!$A$10:$S$152,16,FALSE)</f>
        <v>19.984441461889428</v>
      </c>
      <c r="J45" s="269"/>
      <c r="K45" s="387">
        <f>IF(D45="Y",IF(J45="",I45*E45*H45,J45*E45*H45),"")</f>
        <v>0</v>
      </c>
      <c r="L45" s="248" t="str">
        <f t="shared" ref="L45" si="6">IFERROR(IF(D45="Y",K45/$K$57,0%),"0.0%")</f>
        <v>0.0%</v>
      </c>
      <c r="M45" s="290" t="str">
        <f>VLOOKUP($B45,Activities!$A$10:$S$152,19,FALSE)</f>
        <v xml:space="preserve">This activiity covers the sealing of a bore or a well using a grout.  The assumpiton is that the bore or well is fully grouted to ensure that it is fully sealed. </v>
      </c>
    </row>
    <row r="46" spans="1:19" ht="60.75" thickBot="1" x14ac:dyDescent="0.3">
      <c r="A46" s="1133"/>
      <c r="B46" s="102" t="s">
        <v>426</v>
      </c>
      <c r="C46" s="259" t="str">
        <f>VLOOKUP($B46,Activities!$A$10:$P$152,3,FALSE)</f>
        <v>Removal of well head, cutting the casing and backfilling the area</v>
      </c>
      <c r="D46" s="239" t="s">
        <v>49</v>
      </c>
      <c r="E46" s="240"/>
      <c r="F46" s="246" t="str">
        <f>VLOOKUP($B46,Activities!$A$10:$P$152,4,FALSE)</f>
        <v>Item</v>
      </c>
      <c r="G46" s="1269"/>
      <c r="H46" s="1270"/>
      <c r="I46" s="273">
        <f>VLOOKUP($B46,Activities!$A$10:$S$152,16,FALSE)</f>
        <v>274.52042316806541</v>
      </c>
      <c r="J46" s="269"/>
      <c r="K46" s="388">
        <f t="shared" ref="K46:K50" si="7">IF(D46="Y",IF(J46="",I46*E46,J46*E46),0)</f>
        <v>0</v>
      </c>
      <c r="L46" s="248" t="str">
        <f t="shared" ref="L46:L50" si="8">IFERROR(IF(D46="Y",K46/$K$58,0%),"0.0%")</f>
        <v>0.0%</v>
      </c>
      <c r="M46" s="290" t="str">
        <f>VLOOKUP($B46,Activities!$A$10:$S$152,19,FALSE)</f>
        <v>This activity is the final actiivity for a well or bore.  It involves breaking up and removing of any concrete cap, excavating approximately 1 metres below ground level, cutting the casing off at least 0.5 metres below ground level and backfilling the hole to ground level with fill material and available topsoil.</v>
      </c>
    </row>
    <row r="47" spans="1:19" ht="60.75" thickBot="1" x14ac:dyDescent="0.3">
      <c r="A47" s="1133"/>
      <c r="B47" s="245" t="s">
        <v>434</v>
      </c>
      <c r="C47" s="259" t="str">
        <f>VLOOKUP($B47,Activities!$A$10:$P$152,3,FALSE)</f>
        <v>Removal and Disposal of Major Trunk Pipelines</v>
      </c>
      <c r="D47" s="239" t="s">
        <v>49</v>
      </c>
      <c r="E47" s="240"/>
      <c r="F47" s="246" t="str">
        <f>VLOOKUP($B47,Activities!$A$10:$P$152,4,FALSE)</f>
        <v>m</v>
      </c>
      <c r="G47" s="1269"/>
      <c r="H47" s="1270"/>
      <c r="I47" s="272">
        <f>VLOOKUP($B47,Activities!$A$10:$S$152,16,FALSE)</f>
        <v>32.467068764228138</v>
      </c>
      <c r="J47" s="269"/>
      <c r="K47" s="388">
        <f t="shared" si="7"/>
        <v>0</v>
      </c>
      <c r="L47" s="248" t="str">
        <f t="shared" si="8"/>
        <v>0.0%</v>
      </c>
      <c r="M47" s="290" t="str">
        <f>VLOOKUP($B47,Activities!$A$10:$S$152,19,FALSE)</f>
        <v>The activity relates specifically to the removal and disposal of trunk pipelines assumed to be plastic in nature but greater than 200 mm in diameter.   The pipework should be cut up or shredded.   If the pipe is very large or steel a separate demolition price should be prepared.  It does not inlcude pipework within a process plant.</v>
      </c>
    </row>
    <row r="48" spans="1:19" ht="48.75" thickBot="1" x14ac:dyDescent="0.3">
      <c r="A48" s="1133"/>
      <c r="B48" s="475" t="s">
        <v>79</v>
      </c>
      <c r="C48" s="259" t="str">
        <f>VLOOKUP($B48,Activities!$A$10:$P$152,3,FALSE)</f>
        <v>Minor Shaping across a Dump or Disturbed Area</v>
      </c>
      <c r="D48" s="239" t="s">
        <v>49</v>
      </c>
      <c r="E48" s="240"/>
      <c r="F48" s="246" t="str">
        <f>VLOOKUP($B48,Activities!$A$10:$P$152,4,FALSE)</f>
        <v>Ha</v>
      </c>
      <c r="G48" s="1269"/>
      <c r="H48" s="1270"/>
      <c r="I48" s="272">
        <f>VLOOKUP($B48,Activities!$A$10:$S$152,16,FALSE)</f>
        <v>2987.2221197728068</v>
      </c>
      <c r="J48" s="269"/>
      <c r="K48" s="388">
        <f t="shared" si="7"/>
        <v>0</v>
      </c>
      <c r="L48" s="248" t="str">
        <f t="shared" si="8"/>
        <v>0.0%</v>
      </c>
      <c r="M48" s="290" t="str">
        <f>VLOOKUP($B48,Activities!$A$10:$S$152,19,FALSE)</f>
        <v xml:space="preserve">This activity covers minor shaping shifting pushing across a dump or disturbed area.  It is based on a rate per hectare.  It covers area where there needs to be some clearing work, tidying up of disturbed ground,  but not just bulk pushing </v>
      </c>
    </row>
    <row r="49" spans="1:13" ht="49.5" customHeight="1" thickBot="1" x14ac:dyDescent="0.3">
      <c r="A49" s="1133"/>
      <c r="B49" s="245" t="s">
        <v>21</v>
      </c>
      <c r="C49" s="259" t="str">
        <f>VLOOKUP($B49,Activities!$A$10:$P$152,3,FALSE)</f>
        <v>Scarification to promote vegetation growth</v>
      </c>
      <c r="D49" s="239" t="s">
        <v>49</v>
      </c>
      <c r="E49" s="607"/>
      <c r="F49" s="246" t="str">
        <f>VLOOKUP($B49,Activities!$A$10:$P$152,4,FALSE)</f>
        <v>Ha</v>
      </c>
      <c r="G49" s="1269"/>
      <c r="H49" s="1270"/>
      <c r="I49" s="272">
        <f>VLOOKUP($B49,Activities!$A$10:$S$152,16,FALSE)</f>
        <v>323.54530924221694</v>
      </c>
      <c r="J49" s="269"/>
      <c r="K49" s="388">
        <f t="shared" si="7"/>
        <v>0</v>
      </c>
      <c r="L49" s="248" t="str">
        <f>IFERROR(IF(D49="Y",K49/$K$60,0%),"0.0%")</f>
        <v>0.0%</v>
      </c>
      <c r="M49" s="290" t="str">
        <f>VLOOKUP($B49,Activities!$A$10:$S$152,19,FALSE)</f>
        <v xml:space="preserve">This activity is undertaken in preparation for the seeding of a particular area.  </v>
      </c>
    </row>
    <row r="50" spans="1:13" ht="72.75" thickBot="1" x14ac:dyDescent="0.3">
      <c r="A50" s="1134"/>
      <c r="B50" s="86" t="s">
        <v>251</v>
      </c>
      <c r="C50" s="259" t="str">
        <f>VLOOKUP($B50,Activities!$A$10:$P$152,3,FALSE)</f>
        <v>Scarification and ripping of Haul and Access Roads</v>
      </c>
      <c r="D50" s="239" t="s">
        <v>49</v>
      </c>
      <c r="E50" s="240"/>
      <c r="F50" s="246" t="str">
        <f>VLOOKUP($B50,Activities!$A$10:$P$152,4,FALSE)</f>
        <v>km</v>
      </c>
      <c r="G50" s="1269"/>
      <c r="H50" s="1270"/>
      <c r="I50" s="272">
        <f>VLOOKUP($B50,Activities!$A$10:$S$152,16,FALSE)</f>
        <v>817.62150792547607</v>
      </c>
      <c r="J50" s="269"/>
      <c r="K50" s="388">
        <f t="shared" si="7"/>
        <v>0</v>
      </c>
      <c r="L50" s="248" t="str">
        <f t="shared" si="8"/>
        <v>0.0%</v>
      </c>
      <c r="M50" s="290" t="str">
        <f>VLOOKUP($B50,Activities!$A$10:$S$152,19,FALSE)</f>
        <v>This activity is specifically minor shaping and for the scarification and where necessary the deep ripping of Haul and Access roads to allow natural re-vegetation to occurr.   It is appropriate for access roads and tracks of a width of 5 metres and of minimal construction.  (Access to drill locations and minor areas) ( For major constructed haul roads  20m in width use A1039)</v>
      </c>
    </row>
    <row r="51" spans="1:13" ht="15.75" thickBot="1" x14ac:dyDescent="0.3">
      <c r="A51" s="21" t="s">
        <v>53</v>
      </c>
      <c r="B51" s="112" t="str">
        <f>A42</f>
        <v>Borefields including water fields and insitu leaching fields</v>
      </c>
      <c r="C51" s="23"/>
      <c r="D51" s="24"/>
      <c r="E51" s="25"/>
      <c r="F51" s="24"/>
      <c r="G51" s="24"/>
      <c r="H51" s="24"/>
      <c r="I51" s="26"/>
      <c r="J51" s="27"/>
      <c r="K51" s="28">
        <f>SUM(K42:K50)</f>
        <v>0</v>
      </c>
      <c r="L51" s="24"/>
      <c r="M51" s="43"/>
    </row>
    <row r="52" spans="1:13" ht="79.5" thickBot="1" x14ac:dyDescent="0.3">
      <c r="A52" s="1361" t="s">
        <v>431</v>
      </c>
      <c r="B52" s="104" t="s">
        <v>242</v>
      </c>
      <c r="C52" s="259" t="str">
        <f>VLOOKUP($B52,Activities!$A$10:$P$152,3,FALSE)</f>
        <v xml:space="preserve">Excavation of contaminated materials (earthen materials contaminated by metals, hydrocarbons, putrescible waste management etc) </v>
      </c>
      <c r="D52" s="239" t="s">
        <v>49</v>
      </c>
      <c r="E52" s="240"/>
      <c r="F52" s="246" t="str">
        <f>VLOOKUP($B52,Activities!$A$10:$P$152,4,FALSE)</f>
        <v>m3</v>
      </c>
      <c r="G52" s="1269"/>
      <c r="H52" s="1270"/>
      <c r="I52" s="272">
        <f>VLOOKUP($B52,Activities!$A$10:$S$152,16,FALSE)</f>
        <v>3.7375919690128194</v>
      </c>
      <c r="J52" s="269"/>
      <c r="K52" s="388">
        <f t="shared" ref="K52" si="9">IF(D52="Y",IF(J52="",I52*E52,J52*E52),0)</f>
        <v>0</v>
      </c>
      <c r="L52" s="248" t="str">
        <f>IFERROR(IF(D52="Y",K52/$K$58,0%),"0.0%")</f>
        <v>0.0%</v>
      </c>
      <c r="M52" s="290" t="str">
        <f>VLOOKUP($B52,Activities!$A$10:$S$152,19,FALSE)</f>
        <v>This assumes material can be removed to an approved dump on the mine site.  If such material needs to be transported off site, a separate quotation should be obtained for this activity.</v>
      </c>
    </row>
    <row r="53" spans="1:13" ht="49.5" customHeight="1" thickBot="1" x14ac:dyDescent="0.3">
      <c r="A53" s="1361"/>
      <c r="B53" s="480"/>
      <c r="C53" s="218" t="s">
        <v>55</v>
      </c>
      <c r="D53" s="239" t="s">
        <v>49</v>
      </c>
      <c r="E53" s="320"/>
      <c r="F53" s="166"/>
      <c r="G53" s="1269"/>
      <c r="H53" s="1270"/>
      <c r="I53" s="355" t="s">
        <v>475</v>
      </c>
      <c r="J53" s="269"/>
      <c r="K53" s="387">
        <f>IF(D53="Y",J53*E53,"")</f>
        <v>0</v>
      </c>
      <c r="L53" s="248" t="str">
        <f>IFERROR(IF(D53="Y",K53/$K$57,0%),"0.0%")</f>
        <v>0.0%</v>
      </c>
      <c r="M53" s="139" t="s">
        <v>56</v>
      </c>
    </row>
    <row r="54" spans="1:13" ht="49.5" customHeight="1" thickBot="1" x14ac:dyDescent="0.3">
      <c r="A54" s="1361"/>
      <c r="B54" s="480"/>
      <c r="C54" s="218" t="s">
        <v>55</v>
      </c>
      <c r="D54" s="239" t="s">
        <v>49</v>
      </c>
      <c r="E54" s="320"/>
      <c r="F54" s="166"/>
      <c r="G54" s="1269"/>
      <c r="H54" s="1270"/>
      <c r="I54" s="355" t="s">
        <v>475</v>
      </c>
      <c r="J54" s="269"/>
      <c r="K54" s="387">
        <f>IF(D54="Y",J54*E54,"")</f>
        <v>0</v>
      </c>
      <c r="L54" s="248" t="str">
        <f>IFERROR(IF(D54="Y",K54/$K$57,0%),"0.0%")</f>
        <v>0.0%</v>
      </c>
      <c r="M54" s="139" t="s">
        <v>56</v>
      </c>
    </row>
    <row r="55" spans="1:13" ht="15.75" thickBot="1" x14ac:dyDescent="0.3">
      <c r="A55" s="21" t="s">
        <v>53</v>
      </c>
      <c r="B55" s="112" t="str">
        <f>A52</f>
        <v>Other Activity in respect of Services</v>
      </c>
      <c r="C55" s="23"/>
      <c r="D55" s="24"/>
      <c r="E55" s="25"/>
      <c r="F55" s="24"/>
      <c r="G55" s="24"/>
      <c r="H55" s="24"/>
      <c r="I55" s="26"/>
      <c r="J55" s="27"/>
      <c r="K55" s="28">
        <f>SUM(K52:K54)</f>
        <v>0</v>
      </c>
      <c r="L55" s="24"/>
      <c r="M55" s="29"/>
    </row>
    <row r="56" spans="1:13" x14ac:dyDescent="0.25">
      <c r="A56" s="3"/>
      <c r="B56" s="481"/>
      <c r="C56" s="30"/>
      <c r="D56" s="9"/>
      <c r="E56" s="31"/>
      <c r="F56" s="9"/>
      <c r="G56" s="9"/>
      <c r="H56" s="9"/>
      <c r="I56" s="32"/>
      <c r="J56" s="2"/>
      <c r="K56" s="77"/>
      <c r="L56" s="9"/>
      <c r="M56" s="30"/>
    </row>
    <row r="57" spans="1:13" ht="21" x14ac:dyDescent="0.25">
      <c r="A57" s="3"/>
      <c r="B57" s="481"/>
      <c r="C57" s="30"/>
      <c r="D57" s="9"/>
      <c r="E57" s="31"/>
      <c r="F57" s="9"/>
      <c r="G57" s="9"/>
      <c r="H57" s="9"/>
      <c r="J57" s="34" t="s">
        <v>299</v>
      </c>
      <c r="K57" s="53">
        <f>K55+K51+K41+K28</f>
        <v>0</v>
      </c>
      <c r="L57" s="9"/>
      <c r="M57" s="30"/>
    </row>
    <row r="58" spans="1:13" x14ac:dyDescent="0.25">
      <c r="A58" s="3"/>
      <c r="B58" s="481"/>
      <c r="C58" s="30"/>
      <c r="D58" s="9"/>
      <c r="E58" s="31"/>
      <c r="F58" s="9"/>
      <c r="G58" s="9"/>
      <c r="H58" s="9"/>
      <c r="I58" s="32"/>
      <c r="J58" s="2"/>
      <c r="K58" s="77"/>
      <c r="L58" s="9"/>
      <c r="M58" s="30"/>
    </row>
    <row r="59" spans="1:13" x14ac:dyDescent="0.25">
      <c r="A59" s="3"/>
      <c r="B59" s="481"/>
      <c r="C59" s="30"/>
      <c r="D59" s="9"/>
      <c r="E59" s="31"/>
      <c r="F59" s="9"/>
      <c r="G59" s="9"/>
      <c r="H59" s="9"/>
      <c r="I59" s="32"/>
      <c r="J59" s="2"/>
      <c r="K59" s="77"/>
      <c r="L59" s="9"/>
      <c r="M59" s="30"/>
    </row>
    <row r="60" spans="1:13" x14ac:dyDescent="0.25">
      <c r="A60" s="3"/>
      <c r="B60" s="481"/>
      <c r="C60" s="30"/>
      <c r="D60" s="9"/>
      <c r="E60" s="31"/>
      <c r="F60" s="9"/>
      <c r="G60" s="9"/>
      <c r="H60" s="9"/>
      <c r="I60" s="32"/>
      <c r="J60" s="2"/>
      <c r="K60" s="77"/>
      <c r="L60" s="9"/>
      <c r="M60" s="30"/>
    </row>
    <row r="61" spans="1:13" x14ac:dyDescent="0.25">
      <c r="A61" s="3"/>
      <c r="B61" s="481"/>
      <c r="C61" s="30"/>
      <c r="D61" s="9"/>
      <c r="E61" s="31"/>
      <c r="F61" s="9"/>
      <c r="G61" s="9"/>
      <c r="H61" s="9"/>
      <c r="I61" s="32"/>
      <c r="J61" s="2"/>
      <c r="K61" s="77"/>
      <c r="L61" s="9"/>
      <c r="M61" s="30"/>
    </row>
    <row r="62" spans="1:13" x14ac:dyDescent="0.25">
      <c r="A62" s="3"/>
      <c r="B62" s="481"/>
      <c r="C62" s="30"/>
      <c r="D62" s="9"/>
      <c r="E62" s="31"/>
      <c r="F62" s="9"/>
      <c r="G62" s="9"/>
      <c r="H62" s="9"/>
      <c r="I62" s="32"/>
      <c r="J62" s="2"/>
      <c r="K62" s="77"/>
      <c r="L62" s="9"/>
      <c r="M62" s="30"/>
    </row>
    <row r="63" spans="1:13" x14ac:dyDescent="0.25">
      <c r="A63" s="3"/>
      <c r="B63" s="481"/>
      <c r="C63" s="30"/>
      <c r="D63" s="9"/>
      <c r="E63" s="31"/>
      <c r="F63" s="9"/>
      <c r="G63" s="9"/>
      <c r="H63" s="9"/>
      <c r="I63" s="32"/>
      <c r="J63" s="2"/>
      <c r="K63" s="77"/>
      <c r="L63" s="9"/>
      <c r="M63" s="30"/>
    </row>
    <row r="64" spans="1:13" x14ac:dyDescent="0.25">
      <c r="A64" s="3"/>
      <c r="B64" s="481"/>
      <c r="C64" s="30"/>
      <c r="D64" s="9"/>
      <c r="E64" s="31"/>
      <c r="F64" s="9"/>
      <c r="G64" s="9"/>
      <c r="H64" s="9"/>
      <c r="I64" s="32"/>
      <c r="J64" s="2"/>
      <c r="K64" s="77"/>
      <c r="L64" s="9"/>
      <c r="M64" s="30"/>
    </row>
    <row r="65" spans="1:13" x14ac:dyDescent="0.25">
      <c r="A65" s="3"/>
      <c r="B65" s="481"/>
      <c r="C65" s="30"/>
      <c r="D65" s="9"/>
      <c r="E65" s="31"/>
      <c r="F65" s="9"/>
      <c r="G65" s="9"/>
      <c r="H65" s="9"/>
      <c r="I65" s="32"/>
      <c r="J65" s="2"/>
      <c r="K65" s="77"/>
      <c r="L65" s="9"/>
      <c r="M65" s="30"/>
    </row>
    <row r="66" spans="1:13" x14ac:dyDescent="0.25">
      <c r="A66" s="3"/>
      <c r="B66" s="481"/>
      <c r="C66" s="30"/>
      <c r="D66" s="9"/>
      <c r="E66" s="31"/>
      <c r="F66" s="9"/>
      <c r="G66" s="9"/>
      <c r="H66" s="9"/>
      <c r="I66" s="32"/>
      <c r="J66" s="2"/>
      <c r="K66" s="77"/>
      <c r="L66" s="9"/>
      <c r="M66" s="30"/>
    </row>
    <row r="67" spans="1:13" x14ac:dyDescent="0.25">
      <c r="A67" s="3"/>
      <c r="B67" s="481"/>
      <c r="C67" s="30"/>
      <c r="D67" s="9"/>
      <c r="E67" s="31"/>
      <c r="F67" s="9"/>
      <c r="G67" s="9"/>
      <c r="H67" s="9"/>
      <c r="I67" s="32"/>
      <c r="J67" s="2"/>
      <c r="K67" s="77"/>
      <c r="L67" s="9"/>
      <c r="M67" s="30"/>
    </row>
    <row r="68" spans="1:13" x14ac:dyDescent="0.25">
      <c r="A68" s="3"/>
      <c r="B68" s="481"/>
      <c r="C68" s="30"/>
      <c r="D68" s="9"/>
      <c r="E68" s="31"/>
      <c r="F68" s="9"/>
      <c r="G68" s="9"/>
      <c r="H68" s="9"/>
      <c r="I68" s="32"/>
      <c r="J68" s="2"/>
      <c r="K68" s="77"/>
      <c r="L68" s="9"/>
      <c r="M68" s="30"/>
    </row>
    <row r="69" spans="1:13" x14ac:dyDescent="0.25">
      <c r="A69" s="3"/>
      <c r="B69" s="481"/>
      <c r="C69" s="30"/>
      <c r="D69" s="9"/>
      <c r="E69" s="9"/>
      <c r="F69" s="9"/>
      <c r="G69" s="9"/>
      <c r="H69" s="9"/>
      <c r="I69" s="32"/>
      <c r="J69" s="2"/>
      <c r="K69" s="77"/>
      <c r="L69" s="9"/>
      <c r="M69" s="30"/>
    </row>
    <row r="70" spans="1:13" x14ac:dyDescent="0.25">
      <c r="A70" s="3"/>
      <c r="B70" s="481"/>
      <c r="C70" s="30"/>
      <c r="D70" s="9"/>
      <c r="E70" s="9"/>
      <c r="F70" s="9"/>
      <c r="G70" s="9"/>
      <c r="H70" s="9"/>
      <c r="I70" s="32"/>
      <c r="J70" s="2"/>
      <c r="K70" s="77"/>
      <c r="L70" s="9"/>
      <c r="M70" s="30"/>
    </row>
    <row r="71" spans="1:13" x14ac:dyDescent="0.25">
      <c r="C71" s="30"/>
      <c r="D71" s="9"/>
      <c r="E71" s="9"/>
      <c r="F71" s="9"/>
      <c r="G71" s="9"/>
      <c r="H71" s="9"/>
      <c r="I71" s="32"/>
      <c r="J71" s="2"/>
      <c r="K71" s="9"/>
      <c r="L71" s="9"/>
      <c r="M71" s="30"/>
    </row>
    <row r="72" spans="1:13" x14ac:dyDescent="0.25">
      <c r="C72" s="30"/>
      <c r="D72" s="9"/>
      <c r="E72" s="9"/>
      <c r="F72" s="9"/>
      <c r="G72" s="9"/>
      <c r="H72" s="9"/>
      <c r="I72" s="32"/>
      <c r="J72" s="2"/>
      <c r="K72" s="9"/>
      <c r="L72" s="9"/>
      <c r="M72" s="30"/>
    </row>
    <row r="73" spans="1:13" x14ac:dyDescent="0.25">
      <c r="C73" s="30"/>
      <c r="D73" s="9"/>
      <c r="E73" s="9"/>
      <c r="F73" s="9"/>
      <c r="G73" s="9"/>
      <c r="H73" s="9"/>
      <c r="I73" s="9"/>
      <c r="J73" s="9"/>
      <c r="K73" s="9"/>
      <c r="L73" s="9"/>
      <c r="M73" s="30"/>
    </row>
    <row r="74" spans="1:13" x14ac:dyDescent="0.25">
      <c r="D74" s="9"/>
      <c r="E74" s="9"/>
      <c r="F74" s="9"/>
      <c r="G74" s="9"/>
      <c r="H74" s="9"/>
      <c r="I74" s="9"/>
      <c r="J74" s="9"/>
      <c r="K74" s="9"/>
      <c r="L74" s="9"/>
    </row>
    <row r="75" spans="1:13" x14ac:dyDescent="0.25">
      <c r="D75" s="9"/>
      <c r="E75" s="9"/>
      <c r="F75" s="9"/>
      <c r="G75" s="9"/>
      <c r="H75" s="9"/>
      <c r="I75" s="9"/>
      <c r="J75" s="9"/>
      <c r="K75" s="9"/>
      <c r="L75" s="9"/>
    </row>
    <row r="76" spans="1:13" x14ac:dyDescent="0.25">
      <c r="D76" s="9"/>
      <c r="E76" s="9"/>
      <c r="F76" s="9"/>
      <c r="G76" s="9"/>
      <c r="H76" s="9"/>
      <c r="I76" s="9"/>
      <c r="J76" s="9"/>
      <c r="K76" s="9"/>
      <c r="L76" s="9"/>
    </row>
    <row r="77" spans="1:13" x14ac:dyDescent="0.25">
      <c r="D77" s="9"/>
      <c r="E77" s="9"/>
      <c r="F77" s="9"/>
      <c r="G77" s="9"/>
      <c r="H77" s="9"/>
      <c r="I77" s="9"/>
      <c r="J77" s="9"/>
      <c r="K77" s="9"/>
      <c r="L77" s="9"/>
    </row>
    <row r="78" spans="1:13" x14ac:dyDescent="0.25">
      <c r="D78" s="9"/>
      <c r="E78" s="9"/>
      <c r="F78" s="9"/>
      <c r="G78" s="9"/>
      <c r="H78" s="9"/>
      <c r="I78" s="9"/>
      <c r="J78" s="9"/>
      <c r="K78" s="9"/>
      <c r="L78" s="9"/>
    </row>
    <row r="79" spans="1:13" x14ac:dyDescent="0.25">
      <c r="D79" s="9"/>
      <c r="E79" s="9"/>
      <c r="F79" s="9"/>
      <c r="G79" s="9"/>
      <c r="H79" s="9"/>
      <c r="I79" s="9"/>
      <c r="J79" s="9"/>
      <c r="K79" s="9"/>
      <c r="L79" s="9"/>
    </row>
    <row r="80" spans="1:13" x14ac:dyDescent="0.25">
      <c r="D80" s="9"/>
      <c r="E80" s="9"/>
      <c r="F80" s="9"/>
      <c r="G80" s="9"/>
      <c r="H80" s="9"/>
      <c r="I80" s="9"/>
      <c r="J80" s="9"/>
      <c r="K80" s="9"/>
      <c r="L80" s="9"/>
    </row>
    <row r="81" spans="4:12" x14ac:dyDescent="0.25">
      <c r="D81" s="9"/>
      <c r="E81" s="9"/>
      <c r="F81" s="9"/>
      <c r="G81" s="9"/>
      <c r="H81" s="9"/>
      <c r="I81" s="9"/>
      <c r="J81" s="9"/>
      <c r="K81" s="9"/>
      <c r="L81" s="9"/>
    </row>
    <row r="82" spans="4:12" x14ac:dyDescent="0.25">
      <c r="D82" s="9"/>
      <c r="E82" s="9"/>
      <c r="F82" s="9"/>
      <c r="G82" s="9"/>
      <c r="H82" s="9"/>
      <c r="I82" s="9"/>
      <c r="J82" s="9"/>
      <c r="K82" s="9"/>
      <c r="L82" s="9"/>
    </row>
    <row r="83" spans="4:12" x14ac:dyDescent="0.25">
      <c r="D83" s="9"/>
      <c r="E83" s="9"/>
      <c r="F83" s="9"/>
      <c r="G83" s="9"/>
      <c r="H83" s="9"/>
      <c r="I83" s="9"/>
      <c r="J83" s="9"/>
      <c r="K83" s="9"/>
      <c r="L83" s="9"/>
    </row>
    <row r="84" spans="4:12" x14ac:dyDescent="0.25">
      <c r="D84" s="9"/>
      <c r="E84" s="9"/>
      <c r="F84" s="9"/>
      <c r="G84" s="9"/>
      <c r="H84" s="9"/>
      <c r="I84" s="9"/>
      <c r="J84" s="9"/>
      <c r="K84" s="9"/>
      <c r="L84" s="9"/>
    </row>
    <row r="85" spans="4:12" x14ac:dyDescent="0.25">
      <c r="D85" s="9"/>
      <c r="E85" s="9"/>
      <c r="F85" s="9"/>
      <c r="G85" s="9"/>
      <c r="H85" s="9"/>
      <c r="I85" s="9"/>
      <c r="J85" s="9"/>
      <c r="K85" s="9"/>
      <c r="L85" s="9"/>
    </row>
  </sheetData>
  <sheetProtection algorithmName="SHA-512" hashValue="9FuUOioWpmpgI1meqBPRECovOwC7QxqZ46VRPDoYmaTK9udgLe0XSzfLojlEqn6JSLjMTlQJQNkJjDQIWs3KwA==" saltValue="mUK7NoBVExSH8k8/9VjHsA==" spinCount="100000" sheet="1" formatCells="0" formatRows="0" selectLockedCells="1"/>
  <mergeCells count="56">
    <mergeCell ref="A1:B1"/>
    <mergeCell ref="C1:E1"/>
    <mergeCell ref="C2:E2"/>
    <mergeCell ref="C3:E3"/>
    <mergeCell ref="A22:A27"/>
    <mergeCell ref="A5:E6"/>
    <mergeCell ref="B7:E7"/>
    <mergeCell ref="B8:E8"/>
    <mergeCell ref="B9:E9"/>
    <mergeCell ref="B10:E10"/>
    <mergeCell ref="B11:E11"/>
    <mergeCell ref="B12:E12"/>
    <mergeCell ref="A14:B14"/>
    <mergeCell ref="A15:B15"/>
    <mergeCell ref="C15:E15"/>
    <mergeCell ref="A16:E19"/>
    <mergeCell ref="C14:E14"/>
    <mergeCell ref="K1:L1"/>
    <mergeCell ref="G22:H22"/>
    <mergeCell ref="G34:H34"/>
    <mergeCell ref="G35:H35"/>
    <mergeCell ref="G21:H21"/>
    <mergeCell ref="F1:J3"/>
    <mergeCell ref="G29:H29"/>
    <mergeCell ref="G32:H32"/>
    <mergeCell ref="G23:H23"/>
    <mergeCell ref="G24:H24"/>
    <mergeCell ref="G25:H25"/>
    <mergeCell ref="G27:H27"/>
    <mergeCell ref="G5:J5"/>
    <mergeCell ref="G6:M7"/>
    <mergeCell ref="G8:M19"/>
    <mergeCell ref="L20:M20"/>
    <mergeCell ref="G50:H50"/>
    <mergeCell ref="G37:H37"/>
    <mergeCell ref="G38:H38"/>
    <mergeCell ref="G39:H39"/>
    <mergeCell ref="G30:H30"/>
    <mergeCell ref="G31:H31"/>
    <mergeCell ref="G47:H47"/>
    <mergeCell ref="G26:H26"/>
    <mergeCell ref="A52:A54"/>
    <mergeCell ref="G52:H52"/>
    <mergeCell ref="G53:H53"/>
    <mergeCell ref="G54:H54"/>
    <mergeCell ref="G40:H40"/>
    <mergeCell ref="A42:A50"/>
    <mergeCell ref="G42:H42"/>
    <mergeCell ref="G43:H43"/>
    <mergeCell ref="G44:H44"/>
    <mergeCell ref="G46:H46"/>
    <mergeCell ref="G48:H48"/>
    <mergeCell ref="G49:H49"/>
    <mergeCell ref="A29:A40"/>
    <mergeCell ref="G33:H33"/>
    <mergeCell ref="G36:H36"/>
  </mergeCells>
  <pageMargins left="0.70866141732283472" right="0.70866141732283472" top="0.74803149606299213" bottom="0.74803149606299213" header="0.31496062992125984" footer="0.31496062992125984"/>
  <pageSetup paperSize="9" scale="52" fitToHeight="3" orientation="landscape" r:id="rId1"/>
  <headerFooter>
    <oddHeader>&amp;LDepartment for Energy and Mining&amp;C&amp;"Arial"&amp;12&amp;KA80000 OFFICIAL&amp;1#_x000D_</oddHeader>
    <oddFooter>&amp;L&amp;Z
&amp;F&amp;C&amp;P&amp;R&amp;D</oddFooter>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pageSetUpPr fitToPage="1"/>
  </sheetPr>
  <dimension ref="A1:V85"/>
  <sheetViews>
    <sheetView showGridLines="0" zoomScale="90" zoomScaleNormal="90" workbookViewId="0">
      <selection activeCell="G8" sqref="G8:M19"/>
    </sheetView>
  </sheetViews>
  <sheetFormatPr defaultRowHeight="15" x14ac:dyDescent="0.25"/>
  <cols>
    <col min="1" max="1" width="19.28515625" customWidth="1"/>
    <col min="2" max="2" width="11.5703125" style="56" customWidth="1"/>
    <col min="3" max="3" width="37.7109375" customWidth="1"/>
    <col min="4" max="4" width="13.5703125" customWidth="1"/>
    <col min="5" max="5" width="11" customWidth="1"/>
    <col min="7" max="7" width="21.5703125" customWidth="1"/>
    <col min="8" max="8" width="15" customWidth="1"/>
    <col min="9" max="9" width="12.28515625" customWidth="1"/>
    <col min="10" max="10" width="12.140625" customWidth="1"/>
    <col min="11" max="11" width="16.85546875" customWidth="1"/>
    <col min="12" max="12" width="13.5703125" customWidth="1"/>
    <col min="13" max="13" width="55.140625" customWidth="1"/>
    <col min="18" max="22" width="12.42578125" customWidth="1"/>
  </cols>
  <sheetData>
    <row r="1" spans="1:13" ht="50.25" customHeight="1" x14ac:dyDescent="0.25">
      <c r="A1" s="1322" t="s">
        <v>530</v>
      </c>
      <c r="B1" s="1323"/>
      <c r="C1" s="1324" t="str">
        <f>'Summary Page'!E13</f>
        <v/>
      </c>
      <c r="D1" s="1325"/>
      <c r="E1" s="1326"/>
      <c r="F1" s="1360" t="s">
        <v>580</v>
      </c>
      <c r="G1" s="1285"/>
      <c r="H1" s="1285"/>
      <c r="I1" s="1285"/>
      <c r="J1" s="1286"/>
      <c r="K1" s="1295" t="s">
        <v>460</v>
      </c>
      <c r="L1" s="1295"/>
      <c r="M1" s="404"/>
    </row>
    <row r="2" spans="1:13" ht="21" x14ac:dyDescent="0.35">
      <c r="A2" s="368" t="s">
        <v>461</v>
      </c>
      <c r="B2" s="325">
        <v>13</v>
      </c>
      <c r="C2" s="1296" t="str">
        <f>'Summary Page'!E19</f>
        <v/>
      </c>
      <c r="D2" s="1297"/>
      <c r="E2" s="1348"/>
      <c r="F2" s="1287"/>
      <c r="G2" s="1288"/>
      <c r="H2" s="1288"/>
      <c r="I2" s="1288"/>
      <c r="J2" s="1289"/>
      <c r="K2" s="326"/>
      <c r="L2" s="327" t="s">
        <v>152</v>
      </c>
      <c r="M2" s="328">
        <f>K57</f>
        <v>0</v>
      </c>
    </row>
    <row r="3" spans="1:13" ht="29.25" customHeight="1" x14ac:dyDescent="0.25">
      <c r="A3" s="329" t="s">
        <v>267</v>
      </c>
      <c r="B3" s="477">
        <f>'Version Control'!B50</f>
        <v>7</v>
      </c>
      <c r="C3" s="1356"/>
      <c r="D3" s="1357"/>
      <c r="E3" s="1358"/>
      <c r="F3" s="1290"/>
      <c r="G3" s="1291"/>
      <c r="H3" s="1291"/>
      <c r="I3" s="1291"/>
      <c r="J3" s="1292"/>
      <c r="K3" s="331"/>
      <c r="L3" s="332" t="s">
        <v>462</v>
      </c>
      <c r="M3" s="333">
        <f>'Summary Page'!J73</f>
        <v>0</v>
      </c>
    </row>
    <row r="4" spans="1:13" ht="21" x14ac:dyDescent="0.25">
      <c r="A4" s="334" t="s">
        <v>463</v>
      </c>
      <c r="B4" s="478">
        <f>'Version Control'!A50</f>
        <v>45531</v>
      </c>
      <c r="C4" s="233"/>
      <c r="D4" s="233"/>
      <c r="E4" s="233"/>
      <c r="F4" s="233"/>
      <c r="G4" s="233"/>
      <c r="H4" s="233"/>
      <c r="I4" s="233"/>
      <c r="J4" s="233"/>
      <c r="K4" s="294"/>
      <c r="L4" s="336" t="s">
        <v>464</v>
      </c>
      <c r="M4" s="337" t="e">
        <f>M2/M3</f>
        <v>#DIV/0!</v>
      </c>
    </row>
    <row r="5" spans="1:13" ht="23.25" x14ac:dyDescent="0.25">
      <c r="A5" s="1349" t="s">
        <v>465</v>
      </c>
      <c r="B5" s="1298"/>
      <c r="C5" s="1298"/>
      <c r="D5" s="1298"/>
      <c r="E5" s="1299"/>
      <c r="F5" s="233"/>
      <c r="G5" s="1302" t="s">
        <v>466</v>
      </c>
      <c r="H5" s="1303"/>
      <c r="I5" s="1303"/>
      <c r="J5" s="1304"/>
      <c r="K5" s="233"/>
      <c r="L5" s="233"/>
      <c r="M5" s="233"/>
    </row>
    <row r="6" spans="1:13" ht="15" customHeight="1" x14ac:dyDescent="0.25">
      <c r="A6" s="1350"/>
      <c r="B6" s="1351"/>
      <c r="C6" s="1351"/>
      <c r="D6" s="1351"/>
      <c r="E6" s="1352"/>
      <c r="F6" s="299"/>
      <c r="G6" s="1305" t="s">
        <v>484</v>
      </c>
      <c r="H6" s="1306"/>
      <c r="I6" s="1306"/>
      <c r="J6" s="1306"/>
      <c r="K6" s="1306"/>
      <c r="L6" s="1306"/>
      <c r="M6" s="1307"/>
    </row>
    <row r="7" spans="1:13" ht="16.5" customHeight="1" x14ac:dyDescent="0.25">
      <c r="A7" s="348">
        <v>1</v>
      </c>
      <c r="B7" s="1353" t="s">
        <v>531</v>
      </c>
      <c r="C7" s="1354"/>
      <c r="D7" s="1354"/>
      <c r="E7" s="1355"/>
      <c r="F7" s="339"/>
      <c r="G7" s="1308"/>
      <c r="H7" s="1309"/>
      <c r="I7" s="1309"/>
      <c r="J7" s="1309"/>
      <c r="K7" s="1309"/>
      <c r="L7" s="1309"/>
      <c r="M7" s="1310"/>
    </row>
    <row r="8" spans="1:13" x14ac:dyDescent="0.25">
      <c r="A8" s="297">
        <v>2</v>
      </c>
      <c r="B8" s="1340" t="s">
        <v>579</v>
      </c>
      <c r="C8" s="1341"/>
      <c r="D8" s="1341"/>
      <c r="E8" s="1342"/>
      <c r="F8" s="339"/>
      <c r="G8" s="1137"/>
      <c r="H8" s="1138"/>
      <c r="I8" s="1138"/>
      <c r="J8" s="1138"/>
      <c r="K8" s="1138"/>
      <c r="L8" s="1138"/>
      <c r="M8" s="1139"/>
    </row>
    <row r="9" spans="1:13" x14ac:dyDescent="0.25">
      <c r="A9" s="297">
        <v>3</v>
      </c>
      <c r="B9" s="1343" t="s">
        <v>298</v>
      </c>
      <c r="C9" s="1344"/>
      <c r="D9" s="1344"/>
      <c r="E9" s="1345"/>
      <c r="F9" s="339"/>
      <c r="G9" s="1140"/>
      <c r="H9" s="1329"/>
      <c r="I9" s="1329"/>
      <c r="J9" s="1329"/>
      <c r="K9" s="1329"/>
      <c r="L9" s="1329"/>
      <c r="M9" s="1142"/>
    </row>
    <row r="10" spans="1:13" ht="15" customHeight="1" x14ac:dyDescent="0.25">
      <c r="A10" s="297">
        <v>4</v>
      </c>
      <c r="B10" s="1327" t="s">
        <v>581</v>
      </c>
      <c r="C10" s="1327"/>
      <c r="D10" s="1327"/>
      <c r="E10" s="1328"/>
      <c r="F10" s="339"/>
      <c r="G10" s="1140"/>
      <c r="H10" s="1329"/>
      <c r="I10" s="1329"/>
      <c r="J10" s="1329"/>
      <c r="K10" s="1329"/>
      <c r="L10" s="1329"/>
      <c r="M10" s="1142"/>
    </row>
    <row r="11" spans="1:13" x14ac:dyDescent="0.25">
      <c r="A11" s="297">
        <v>5</v>
      </c>
      <c r="B11" s="1330"/>
      <c r="C11" s="1331"/>
      <c r="D11" s="1331"/>
      <c r="E11" s="1332"/>
      <c r="F11" s="339"/>
      <c r="G11" s="1140"/>
      <c r="H11" s="1329"/>
      <c r="I11" s="1329"/>
      <c r="J11" s="1329"/>
      <c r="K11" s="1329"/>
      <c r="L11" s="1329"/>
      <c r="M11" s="1142"/>
    </row>
    <row r="12" spans="1:13" x14ac:dyDescent="0.25">
      <c r="A12" s="305">
        <v>6</v>
      </c>
      <c r="B12" s="1346"/>
      <c r="C12" s="1346"/>
      <c r="D12" s="1346"/>
      <c r="E12" s="1347"/>
      <c r="F12" s="233"/>
      <c r="G12" s="1140"/>
      <c r="H12" s="1329"/>
      <c r="I12" s="1329"/>
      <c r="J12" s="1329"/>
      <c r="K12" s="1329"/>
      <c r="L12" s="1329"/>
      <c r="M12" s="1142"/>
    </row>
    <row r="13" spans="1:13" ht="15" customHeight="1" x14ac:dyDescent="0.25">
      <c r="A13" s="340" t="s">
        <v>34</v>
      </c>
      <c r="B13" s="340"/>
      <c r="C13" s="233"/>
      <c r="D13" s="233"/>
      <c r="E13" s="233"/>
      <c r="F13" s="233"/>
      <c r="G13" s="1140"/>
      <c r="H13" s="1329"/>
      <c r="I13" s="1329"/>
      <c r="J13" s="1329"/>
      <c r="K13" s="1329"/>
      <c r="L13" s="1329"/>
      <c r="M13" s="1142"/>
    </row>
    <row r="14" spans="1:13" ht="15" customHeight="1" x14ac:dyDescent="0.25">
      <c r="A14" s="1276"/>
      <c r="B14" s="1277"/>
      <c r="C14" s="1278" t="s">
        <v>352</v>
      </c>
      <c r="D14" s="1278"/>
      <c r="E14" s="1279"/>
      <c r="F14" s="233"/>
      <c r="G14" s="1140"/>
      <c r="H14" s="1329"/>
      <c r="I14" s="1329"/>
      <c r="J14" s="1329"/>
      <c r="K14" s="1329"/>
      <c r="L14" s="1329"/>
      <c r="M14" s="1142"/>
    </row>
    <row r="15" spans="1:13" ht="15" customHeight="1" x14ac:dyDescent="0.25">
      <c r="A15" s="1201"/>
      <c r="B15" s="1202"/>
      <c r="C15" s="1280" t="s">
        <v>467</v>
      </c>
      <c r="D15" s="1280"/>
      <c r="E15" s="1281"/>
      <c r="F15" s="233"/>
      <c r="G15" s="1140"/>
      <c r="H15" s="1329"/>
      <c r="I15" s="1329"/>
      <c r="J15" s="1329"/>
      <c r="K15" s="1329"/>
      <c r="L15" s="1329"/>
      <c r="M15" s="1142"/>
    </row>
    <row r="16" spans="1:13" ht="15" customHeight="1" x14ac:dyDescent="0.25">
      <c r="A16" s="1284" t="s">
        <v>827</v>
      </c>
      <c r="B16" s="1285"/>
      <c r="C16" s="1285"/>
      <c r="D16" s="1285"/>
      <c r="E16" s="1286"/>
      <c r="F16" s="233"/>
      <c r="G16" s="1140"/>
      <c r="H16" s="1329"/>
      <c r="I16" s="1329"/>
      <c r="J16" s="1329"/>
      <c r="K16" s="1329"/>
      <c r="L16" s="1329"/>
      <c r="M16" s="1142"/>
    </row>
    <row r="17" spans="1:22" ht="15" customHeight="1" x14ac:dyDescent="0.25">
      <c r="A17" s="1287"/>
      <c r="B17" s="1288"/>
      <c r="C17" s="1288"/>
      <c r="D17" s="1288"/>
      <c r="E17" s="1289"/>
      <c r="F17" s="233"/>
      <c r="G17" s="1140"/>
      <c r="H17" s="1329"/>
      <c r="I17" s="1329"/>
      <c r="J17" s="1329"/>
      <c r="K17" s="1329"/>
      <c r="L17" s="1329"/>
      <c r="M17" s="1142"/>
    </row>
    <row r="18" spans="1:22" x14ac:dyDescent="0.25">
      <c r="A18" s="1287"/>
      <c r="B18" s="1288"/>
      <c r="C18" s="1288"/>
      <c r="D18" s="1288"/>
      <c r="E18" s="1289"/>
      <c r="F18" s="233"/>
      <c r="G18" s="1140"/>
      <c r="H18" s="1329"/>
      <c r="I18" s="1329"/>
      <c r="J18" s="1329"/>
      <c r="K18" s="1329"/>
      <c r="L18" s="1329"/>
      <c r="M18" s="1142"/>
    </row>
    <row r="19" spans="1:22" ht="15" customHeight="1" x14ac:dyDescent="0.25">
      <c r="A19" s="1290"/>
      <c r="B19" s="1291"/>
      <c r="C19" s="1291"/>
      <c r="D19" s="1291"/>
      <c r="E19" s="1292"/>
      <c r="F19" s="233"/>
      <c r="G19" s="1143"/>
      <c r="H19" s="1144"/>
      <c r="I19" s="1144"/>
      <c r="J19" s="1144"/>
      <c r="K19" s="1144"/>
      <c r="L19" s="1144"/>
      <c r="M19" s="1145"/>
    </row>
    <row r="20" spans="1:22" x14ac:dyDescent="0.25">
      <c r="A20" s="233"/>
      <c r="B20" s="340"/>
      <c r="C20" s="233"/>
      <c r="D20" s="366"/>
      <c r="E20" s="233"/>
      <c r="F20" s="233"/>
      <c r="G20" s="233"/>
      <c r="H20" s="233"/>
      <c r="I20" s="233"/>
      <c r="J20" s="219"/>
      <c r="K20" s="367"/>
      <c r="L20" s="1291"/>
      <c r="M20" s="1292"/>
    </row>
    <row r="21" spans="1:22" s="1" customFormat="1" ht="60.75" customHeight="1" thickBot="1" x14ac:dyDescent="0.3">
      <c r="A21" s="119" t="s">
        <v>39</v>
      </c>
      <c r="B21" s="120" t="s">
        <v>40</v>
      </c>
      <c r="C21" s="120" t="s">
        <v>479</v>
      </c>
      <c r="D21" s="311" t="s">
        <v>272</v>
      </c>
      <c r="E21" s="311" t="s">
        <v>43</v>
      </c>
      <c r="F21" s="120" t="s">
        <v>273</v>
      </c>
      <c r="G21" s="1212" t="s">
        <v>416</v>
      </c>
      <c r="H21" s="1212"/>
      <c r="I21" s="120" t="s">
        <v>45</v>
      </c>
      <c r="J21" s="312" t="s">
        <v>271</v>
      </c>
      <c r="K21" s="120" t="s">
        <v>47</v>
      </c>
      <c r="L21" s="120" t="s">
        <v>270</v>
      </c>
      <c r="M21" s="317" t="s">
        <v>415</v>
      </c>
      <c r="P21"/>
      <c r="Q21"/>
      <c r="R21"/>
      <c r="S21"/>
      <c r="T21"/>
      <c r="U21"/>
      <c r="V21"/>
    </row>
    <row r="22" spans="1:22" ht="60.75" thickBot="1" x14ac:dyDescent="0.3">
      <c r="A22" s="1362" t="s">
        <v>296</v>
      </c>
      <c r="B22" s="86" t="s">
        <v>274</v>
      </c>
      <c r="C22" s="259" t="str">
        <f>VLOOKUP($B22,Activities!$A$10:$P$152,3,FALSE)</f>
        <v>Disconnection and Termination of Main Electrical Power</v>
      </c>
      <c r="D22" s="239" t="s">
        <v>49</v>
      </c>
      <c r="E22" s="240"/>
      <c r="F22" s="246" t="str">
        <f>VLOOKUP($B22,Activities!$A$10:$P$152,4,FALSE)</f>
        <v>Item</v>
      </c>
      <c r="G22" s="1269"/>
      <c r="H22" s="1270"/>
      <c r="I22" s="273">
        <f>VLOOKUP($B22,Activities!$A$10:$S$152,16,FALSE)</f>
        <v>1799.7514892963404</v>
      </c>
      <c r="J22" s="269"/>
      <c r="K22" s="388">
        <f t="shared" ref="K22:K27" si="0">IF(D22="Y",IF(J22="",I22*E22,J22*E22),0)</f>
        <v>0</v>
      </c>
      <c r="L22" s="248" t="str">
        <f t="shared" ref="L22:L27" si="1">IFERROR(IF(D22="Y",K22/$K$58,0%),"0.0%")</f>
        <v>0.0%</v>
      </c>
      <c r="M22" s="290" t="str">
        <f>VLOOKUP($B22,Activities!$A$10:$S$152,19,FALSE)</f>
        <v>This activity covers the main disconnection of Electrical Power to a small site or in the case of a very large mine a significant portion of the site.  Rate is per power supply connection. Excludes removal. Excludes power to site. (It is not applicable to the disconnection of a building etc)</v>
      </c>
    </row>
    <row r="23" spans="1:22" ht="72.75" thickBot="1" x14ac:dyDescent="0.3">
      <c r="A23" s="1389"/>
      <c r="B23" s="86" t="s">
        <v>277</v>
      </c>
      <c r="C23" s="259" t="str">
        <f>VLOOKUP($B23,Activities!$A$10:$P$152,3,FALSE)</f>
        <v>Substations and Transformers - Demolish and Remove</v>
      </c>
      <c r="D23" s="239" t="s">
        <v>49</v>
      </c>
      <c r="E23" s="240"/>
      <c r="F23" s="246" t="str">
        <f>VLOOKUP($B23,Activities!$A$10:$P$152,4,FALSE)</f>
        <v>m2</v>
      </c>
      <c r="G23" s="1269"/>
      <c r="H23" s="1270"/>
      <c r="I23" s="272">
        <f>VLOOKUP($B23,Activities!$A$10:$S$152,16,FALSE)</f>
        <v>55.0427104972511</v>
      </c>
      <c r="J23" s="269"/>
      <c r="K23" s="388">
        <f t="shared" si="0"/>
        <v>0</v>
      </c>
      <c r="L23" s="248" t="str">
        <f t="shared" si="1"/>
        <v>0.0%</v>
      </c>
      <c r="M23" s="290" t="str">
        <f>VLOOKUP($B23,Activities!$A$10:$S$152,19,FALSE)</f>
        <v>This activity covers the main disconnection of Electrical Power to a small site or in the case of a very large mine a significant portion of the site.  (It is not applicable to the disconnection of a building etc)  The substation including buildings and pads are demolished and any item not salvageable is dumped on the mine site in a designated area.</v>
      </c>
    </row>
    <row r="24" spans="1:22" ht="72.75" thickBot="1" x14ac:dyDescent="0.3">
      <c r="A24" s="1389"/>
      <c r="B24" s="86" t="s">
        <v>279</v>
      </c>
      <c r="C24" s="259" t="str">
        <f>VLOOKUP($B24,Activities!$A$10:$P$152,3,FALSE)</f>
        <v xml:space="preserve">Removal of Underground Cables </v>
      </c>
      <c r="D24" s="239" t="s">
        <v>49</v>
      </c>
      <c r="E24" s="240"/>
      <c r="F24" s="246" t="str">
        <f>VLOOKUP($B24,Activities!$A$10:$P$152,4,FALSE)</f>
        <v>lin m</v>
      </c>
      <c r="G24" s="1269"/>
      <c r="H24" s="1270"/>
      <c r="I24" s="272">
        <f>VLOOKUP($B24,Activities!$A$10:$S$152,16,FALSE)</f>
        <v>32.813721301510533</v>
      </c>
      <c r="J24" s="269"/>
      <c r="K24" s="388">
        <f t="shared" si="0"/>
        <v>0</v>
      </c>
      <c r="L24" s="248" t="str">
        <f t="shared" si="1"/>
        <v>0.0%</v>
      </c>
      <c r="M24" s="290" t="str">
        <f>VLOOKUP($B24,Activities!$A$10:$S$152,19,FALSE)</f>
        <v>This activity covers the removal of underground electrical cables from a site.  Specifically cables from a sub-station to the plant, to the offices, etc are included in this activity.  It is based on digging up and pulling up the cables and loading onto a truck for disposal either off-site or on site.  It also includes making good the trench where the cables have been pulled.</v>
      </c>
      <c r="Q24" s="126"/>
      <c r="S24" s="126"/>
      <c r="T24" s="126"/>
    </row>
    <row r="25" spans="1:22" ht="62.25" customHeight="1" thickBot="1" x14ac:dyDescent="0.3">
      <c r="A25" s="1389"/>
      <c r="B25" s="86" t="s">
        <v>604</v>
      </c>
      <c r="C25" s="259" t="str">
        <f>VLOOKUP($B25,Activities!$A$10:$P$152,3,FALSE)</f>
        <v>Removal of low/medium voltage powerlines including disconnection</v>
      </c>
      <c r="D25" s="239" t="s">
        <v>49</v>
      </c>
      <c r="E25" s="240"/>
      <c r="F25" s="246" t="str">
        <f>VLOOKUP($B25,Activities!$A$10:$P$152,4,FALSE)</f>
        <v>km</v>
      </c>
      <c r="G25" s="1269"/>
      <c r="H25" s="1270"/>
      <c r="I25" s="273">
        <f>VLOOKUP($B25,Activities!$A$10:$S$152,16,FALSE)</f>
        <v>18422.585794094175</v>
      </c>
      <c r="J25" s="269"/>
      <c r="K25" s="388">
        <f t="shared" si="0"/>
        <v>0</v>
      </c>
      <c r="L25" s="248" t="str">
        <f t="shared" si="1"/>
        <v>0.0%</v>
      </c>
      <c r="M25" s="290" t="str">
        <f>VLOOKUP($B25,Activities!$A$10:$S$152,19,FALSE)</f>
        <v>Activity includes the removal of low/medium voltage powerlines including disconnection, rolling up the wires and removing the poles - Applies to power lines on stobie, concrete or similar poles.
Does not include the removal of substations</v>
      </c>
      <c r="S25" s="4"/>
      <c r="T25" s="4"/>
      <c r="V25" s="4"/>
    </row>
    <row r="26" spans="1:22" ht="63.75" thickBot="1" x14ac:dyDescent="0.3">
      <c r="A26" s="1389"/>
      <c r="B26" s="86" t="s">
        <v>606</v>
      </c>
      <c r="C26" s="259" t="str">
        <f>VLOOKUP($B26,Activities!$A$10:$P$152,3,FALSE)</f>
        <v>Removal of power lines on tower or lattice structures (this includes disconnection, rolling up the wires and removing the structures)</v>
      </c>
      <c r="D26" s="239" t="s">
        <v>49</v>
      </c>
      <c r="E26" s="240"/>
      <c r="F26" s="246" t="str">
        <f>VLOOKUP($B26,Activities!$A$10:$P$152,4,FALSE)</f>
        <v>Km</v>
      </c>
      <c r="G26" s="1269"/>
      <c r="H26" s="1270"/>
      <c r="I26" s="273">
        <f>VLOOKUP($B26,Activities!$A$10:$S$152,16,FALSE)</f>
        <v>122817.2386272945</v>
      </c>
      <c r="J26" s="269"/>
      <c r="K26" s="388">
        <f t="shared" si="0"/>
        <v>0</v>
      </c>
      <c r="L26" s="248" t="str">
        <f t="shared" si="1"/>
        <v>0.0%</v>
      </c>
      <c r="M26" s="290" t="str">
        <f>VLOOKUP($B26,Activities!$A$10:$S$152,19,FALSE)</f>
        <v>Removal of power lines on tower or lattice structures (this includes disconnection, rolling up the wires and removing the structures) - Applies to power lines on steel tower and steel lattice structures assuming 3 towers / km.
Does not include the removal of substations</v>
      </c>
      <c r="S26" s="4"/>
      <c r="T26" s="4"/>
      <c r="V26" s="4"/>
    </row>
    <row r="27" spans="1:22" ht="62.25" customHeight="1" thickBot="1" x14ac:dyDescent="0.3">
      <c r="A27" s="1390"/>
      <c r="B27" s="102" t="s">
        <v>252</v>
      </c>
      <c r="C27" s="259" t="str">
        <f>VLOOKUP($B27,Activities!$A$10:$P$152,3,FALSE)</f>
        <v>Demolition of Industrial and Other buildings and remove waste to designated dump on site.</v>
      </c>
      <c r="D27" s="239" t="s">
        <v>49</v>
      </c>
      <c r="E27" s="240"/>
      <c r="F27" s="246" t="str">
        <f>VLOOKUP($B27,Activities!$A$10:$P$152,4,FALSE)</f>
        <v>m2</v>
      </c>
      <c r="G27" s="1269"/>
      <c r="H27" s="1270"/>
      <c r="I27" s="272">
        <f>VLOOKUP($B27,Activities!$A$10:$S$152,16,FALSE)</f>
        <v>62.958526402902507</v>
      </c>
      <c r="J27" s="269"/>
      <c r="K27" s="388">
        <f t="shared" si="0"/>
        <v>0</v>
      </c>
      <c r="L27" s="248" t="str">
        <f t="shared" si="1"/>
        <v>0.0%</v>
      </c>
      <c r="M27" s="290" t="str">
        <f>VLOOKUP($B27,Activities!$A$10:$S$152,19,FALSE)</f>
        <v xml:space="preserve">This activity covers the demolition of industrial and other buildings (up to 5 levels) on the site that are not salvageable or removed from the site.  The buildings are demolished and transported to a designated dump on the mine site. </v>
      </c>
      <c r="S27" s="4"/>
      <c r="T27" s="4"/>
      <c r="V27" s="4"/>
    </row>
    <row r="28" spans="1:22" ht="15.75" thickBot="1" x14ac:dyDescent="0.3">
      <c r="A28" s="111" t="s">
        <v>53</v>
      </c>
      <c r="B28" s="112" t="str">
        <f>A22</f>
        <v>Power Infrastructure</v>
      </c>
      <c r="C28" s="103"/>
      <c r="D28" s="24"/>
      <c r="E28" s="25"/>
      <c r="F28" s="24"/>
      <c r="G28" s="24"/>
      <c r="H28" s="24"/>
      <c r="I28" s="26"/>
      <c r="J28" s="27"/>
      <c r="K28" s="28">
        <f>SUM(K22:K26)</f>
        <v>0</v>
      </c>
      <c r="L28" s="24"/>
      <c r="M28" s="43"/>
      <c r="S28" s="4"/>
      <c r="T28" s="4"/>
      <c r="V28" s="4"/>
    </row>
    <row r="29" spans="1:22" ht="63.75" thickBot="1" x14ac:dyDescent="0.3">
      <c r="A29" s="1132" t="s">
        <v>297</v>
      </c>
      <c r="B29" s="86" t="s">
        <v>616</v>
      </c>
      <c r="C29" s="259" t="str">
        <f>VLOOKUP($B29,Activities!$A$10:$P$152,3,FALSE)</f>
        <v>Disconnect and terminate services at remote areas  (i.e., pump stations, remote workshops, sewage treatment plant, etc.)</v>
      </c>
      <c r="D29" s="239" t="s">
        <v>49</v>
      </c>
      <c r="E29" s="240"/>
      <c r="F29" s="246" t="str">
        <f>VLOOKUP($B29,Activities!$A$10:$P$152,4,FALSE)</f>
        <v>Item</v>
      </c>
      <c r="G29" s="1269"/>
      <c r="H29" s="1270"/>
      <c r="I29" s="273">
        <f>VLOOKUP($B29,Activities!$A$10:$S$152,16,FALSE)</f>
        <v>7184.8084596967292</v>
      </c>
      <c r="J29" s="269"/>
      <c r="K29" s="388">
        <f t="shared" ref="K29:K40" si="2">IF(D29="Y",IF(J29="",I29*E29,J29*E29),0)</f>
        <v>0</v>
      </c>
      <c r="L29" s="248" t="str">
        <f t="shared" ref="L29:L39" si="3">IFERROR(IF(D29="Y",K29/$K$58,0%),"0.0%")</f>
        <v>0.0%</v>
      </c>
      <c r="M29" s="290" t="str">
        <f>VLOOKUP($B29,Activities!$A$10:$S$152,19,FALSE)</f>
        <v>For disconnection of all services, at building boundaries, physical cut at the point of attachment or distribution location.  If infrastructure is not consolidated (i.e., administration, camp and workshops are in separate places), consider multiple disconnection fees.</v>
      </c>
      <c r="S29" s="4"/>
      <c r="T29" s="4"/>
      <c r="V29" s="4"/>
    </row>
    <row r="30" spans="1:22" ht="64.5" customHeight="1" thickBot="1" x14ac:dyDescent="0.3">
      <c r="A30" s="1133"/>
      <c r="B30" s="86" t="s">
        <v>719</v>
      </c>
      <c r="C30" s="259" t="str">
        <f>VLOOKUP($B30,Activities!$A$10:$P$152,3,FALSE)</f>
        <v>Wastewater Treatment Plant (Tertiary Filtration System) - demolish and remove</v>
      </c>
      <c r="D30" s="239" t="s">
        <v>49</v>
      </c>
      <c r="E30" s="240"/>
      <c r="F30" s="246" t="str">
        <f>VLOOKUP($B30,Activities!$A$10:$P$152,4,FALSE)</f>
        <v>Ha</v>
      </c>
      <c r="G30" s="1269"/>
      <c r="H30" s="1270"/>
      <c r="I30" s="273">
        <f>VLOOKUP($B30,Activities!$A$10:$S$152,16,FALSE)</f>
        <v>12437.827324985241</v>
      </c>
      <c r="J30" s="269"/>
      <c r="K30" s="388">
        <f t="shared" ref="K30:K31" si="4">IF(D30="Y",IF(J30="",I30*E30,J30*E30),0)</f>
        <v>0</v>
      </c>
      <c r="L30" s="248" t="str">
        <f t="shared" ref="L30:L31" si="5">IFERROR(IF(D30="Y",K30/$K$58,0%),"0.0%")</f>
        <v>0.0%</v>
      </c>
      <c r="M30" s="290" t="str">
        <f>VLOOKUP($B30,Activities!$A$10:$S$152,19,FALSE)</f>
        <v>This activity is based on the type and capacity of the plant.  Rate is based on plant capacity in megalitres/day.  Includes the full demolition and removal to a designated dump on site.  8 modules to remove.</v>
      </c>
      <c r="S30" s="4"/>
      <c r="T30" s="4"/>
      <c r="V30" s="4"/>
    </row>
    <row r="31" spans="1:22" ht="79.5" thickBot="1" x14ac:dyDescent="0.3">
      <c r="A31" s="1133"/>
      <c r="B31" s="86" t="s">
        <v>731</v>
      </c>
      <c r="C31" s="259" t="str">
        <f>VLOOKUP($B31,Activities!$A$10:$P$152,3,FALSE)</f>
        <v>Water Treatment Plant - RO desalination or ion exchanger system - demolish and remove - based on plant capacity in Mega Litres a Day</v>
      </c>
      <c r="D31" s="239" t="s">
        <v>49</v>
      </c>
      <c r="E31" s="240"/>
      <c r="F31" s="246" t="str">
        <f>VLOOKUP($B31,Activities!$A$10:$P$152,4,FALSE)</f>
        <v>MLD</v>
      </c>
      <c r="G31" s="1269"/>
      <c r="H31" s="1270"/>
      <c r="I31" s="273">
        <f>VLOOKUP($B31,Activities!$A$10:$S$152,16,FALSE)</f>
        <v>7609.2109368736865</v>
      </c>
      <c r="J31" s="269"/>
      <c r="K31" s="388">
        <f t="shared" si="4"/>
        <v>0</v>
      </c>
      <c r="L31" s="248" t="str">
        <f t="shared" si="5"/>
        <v>0.0%</v>
      </c>
      <c r="M31" s="290" t="str">
        <f>VLOOKUP($B31,Activities!$A$10:$S$152,19,FALSE)</f>
        <v>The activity is based on a RO type of water treatment plant.  Whilst there are a variety of water treatment plants, RO plants are more common and have been assessed as average in cost to demolish and remove.</v>
      </c>
      <c r="S31" s="4"/>
      <c r="T31" s="4"/>
      <c r="V31" s="4"/>
    </row>
    <row r="32" spans="1:22" ht="63.75" thickBot="1" x14ac:dyDescent="0.3">
      <c r="A32" s="1133"/>
      <c r="B32" s="86" t="s">
        <v>732</v>
      </c>
      <c r="C32" s="259" t="str">
        <f>VLOOKUP($B32,Activities!$A$10:$P$152,3,FALSE)</f>
        <v xml:space="preserve">Wastewater Treatment Plant - anoxic and aeration tank (activated sludge process) - demolish and remove </v>
      </c>
      <c r="D32" s="239" t="s">
        <v>49</v>
      </c>
      <c r="E32" s="240"/>
      <c r="F32" s="246" t="str">
        <f>VLOOKUP($B32,Activities!$A$10:$P$152,4,FALSE)</f>
        <v>MLD</v>
      </c>
      <c r="G32" s="1269"/>
      <c r="H32" s="1270"/>
      <c r="I32" s="273">
        <f>VLOOKUP($B32,Activities!$A$10:$S$152,16,FALSE)</f>
        <v>23336.079446466923</v>
      </c>
      <c r="J32" s="269"/>
      <c r="K32" s="388">
        <f t="shared" si="2"/>
        <v>0</v>
      </c>
      <c r="L32" s="248" t="str">
        <f t="shared" si="3"/>
        <v>0.0%</v>
      </c>
      <c r="M32" s="290" t="str">
        <f>VLOOKUP($B32,Activities!$A$10:$S$152,19,FALSE)</f>
        <v>This activity is based on the type and capacity of the plant.  Rate is based on plant capacity in megalitres/day.  Includes the full demolition and removal to a designated dump on site.</v>
      </c>
    </row>
    <row r="33" spans="1:19" ht="72.75" thickBot="1" x14ac:dyDescent="0.3">
      <c r="A33" s="1133"/>
      <c r="B33" s="245" t="s">
        <v>405</v>
      </c>
      <c r="C33" s="259" t="str">
        <f>VLOOKUP($B33,Activities!$A$10:$P$152,3,FALSE)</f>
        <v>Removal of a dam liner and minor pipework to enable the reinstatement of a water dam or other storage facility.</v>
      </c>
      <c r="D33" s="239" t="s">
        <v>49</v>
      </c>
      <c r="E33" s="240"/>
      <c r="F33" s="246" t="str">
        <f>VLOOKUP($B33,Activities!$A$10:$P$152,4,FALSE)</f>
        <v>Item</v>
      </c>
      <c r="G33" s="1269"/>
      <c r="H33" s="1270"/>
      <c r="I33" s="273">
        <f>VLOOKUP($B33,Activities!$A$10:$S$152,16,FALSE)</f>
        <v>2413.2207421290032</v>
      </c>
      <c r="J33" s="269"/>
      <c r="K33" s="388">
        <f t="shared" si="2"/>
        <v>0</v>
      </c>
      <c r="L33" s="248" t="str">
        <f t="shared" si="3"/>
        <v>0.0%</v>
      </c>
      <c r="M33" s="290" t="str">
        <f>VLOOKUP($B33,Activities!$A$10:$S$152,19,FALSE)</f>
        <v>This activity involves the removal and tidying up of a water storage area prior to bulk movement of material to reinstate the area back to natural surface.  It also includes the removal of any pipes, pumps and other items associated with the use of the dam.  IT is assumed that the liner if present will be cut and folded onto itself in the centre of the dam so that the liner can be buried.</v>
      </c>
    </row>
    <row r="34" spans="1:19" ht="60.75" thickBot="1" x14ac:dyDescent="0.3">
      <c r="A34" s="1133"/>
      <c r="B34" s="245" t="s">
        <v>289</v>
      </c>
      <c r="C34" s="259" t="str">
        <f>VLOOKUP($B34,Activities!$A$10:$P$152,3,FALSE)</f>
        <v xml:space="preserve">Removal and demolition of Pump Station </v>
      </c>
      <c r="D34" s="239" t="s">
        <v>49</v>
      </c>
      <c r="E34" s="240"/>
      <c r="F34" s="246" t="str">
        <f>VLOOKUP($B34,Activities!$A$10:$P$152,4,FALSE)</f>
        <v>Item</v>
      </c>
      <c r="G34" s="1269"/>
      <c r="H34" s="1270"/>
      <c r="I34" s="273">
        <f>VLOOKUP($B34,Activities!$A$10:$S$152,16,FALSE)</f>
        <v>1580.3092850475025</v>
      </c>
      <c r="J34" s="269"/>
      <c r="K34" s="388">
        <f t="shared" si="2"/>
        <v>0</v>
      </c>
      <c r="L34" s="248" t="str">
        <f t="shared" si="3"/>
        <v>0.0%</v>
      </c>
      <c r="M34" s="290" t="str">
        <f>VLOOKUP($B34,Activities!$A$10:$S$152,19,FALSE)</f>
        <v>This activity involves the removal and demolition of an above ground pump station used in connection with a borefield and or wellhead injection system. ( It does not include the demolition of a substantial pumping structure or building which will need additional cost estimates)</v>
      </c>
    </row>
    <row r="35" spans="1:19" ht="72.75" thickBot="1" x14ac:dyDescent="0.3">
      <c r="A35" s="1133"/>
      <c r="B35" s="102" t="s">
        <v>233</v>
      </c>
      <c r="C35" s="259" t="str">
        <f>VLOOKUP($B35,Activities!$A$10:$P$152,3,FALSE)</f>
        <v>Demolish and Removal of Pipework - Plastic (Borefields, tailing facilities, etc)</v>
      </c>
      <c r="D35" s="239" t="s">
        <v>49</v>
      </c>
      <c r="E35" s="240"/>
      <c r="F35" s="246" t="str">
        <f>VLOOKUP($B35,Activities!$A$10:$P$152,4,FALSE)</f>
        <v>m</v>
      </c>
      <c r="G35" s="1269"/>
      <c r="H35" s="1270"/>
      <c r="I35" s="272">
        <f>VLOOKUP($B35,Activities!$A$10:$S$152,16,FALSE)</f>
        <v>13.119651535666517</v>
      </c>
      <c r="J35" s="269"/>
      <c r="K35" s="388">
        <f t="shared" si="2"/>
        <v>0</v>
      </c>
      <c r="L35" s="248" t="str">
        <f t="shared" si="3"/>
        <v>0.0%</v>
      </c>
      <c r="M35" s="290" t="str">
        <f>VLOOKUP($B35,Activities!$A$10:$S$152,19,FALSE)</f>
        <v>The activity consists of removing all pipework within the area and disposing of this pipework in an approved dump on the site.  The pipework should be cut up or shredded.  The activity assumes that the pipe is &lt;200mm and is plastic in nature.  If the pipe is very large or steel a separate demolition price should be prepared.  It does not inlcude pipework within a process plant.</v>
      </c>
    </row>
    <row r="36" spans="1:19" ht="60.75" thickBot="1" x14ac:dyDescent="0.3">
      <c r="A36" s="1133"/>
      <c r="B36" s="102" t="s">
        <v>434</v>
      </c>
      <c r="C36" s="259" t="str">
        <f>VLOOKUP($B36,Activities!$A$10:$P$152,3,FALSE)</f>
        <v>Removal and Disposal of Major Trunk Pipelines</v>
      </c>
      <c r="D36" s="239" t="s">
        <v>49</v>
      </c>
      <c r="E36" s="240"/>
      <c r="F36" s="246" t="str">
        <f>VLOOKUP($B36,Activities!$A$10:$P$152,4,FALSE)</f>
        <v>m</v>
      </c>
      <c r="G36" s="1269"/>
      <c r="H36" s="1270"/>
      <c r="I36" s="272">
        <f>VLOOKUP($B36,Activities!$A$10:$S$152,16,FALSE)</f>
        <v>32.467068764228138</v>
      </c>
      <c r="J36" s="269"/>
      <c r="K36" s="388">
        <f t="shared" si="2"/>
        <v>0</v>
      </c>
      <c r="L36" s="248" t="str">
        <f t="shared" si="3"/>
        <v>0.0%</v>
      </c>
      <c r="M36" s="290" t="str">
        <f>VLOOKUP($B36,Activities!$A$10:$S$152,19,FALSE)</f>
        <v>The activity relates specifically to the removal and disposal of trunk pipelines assumed to be plastic in nature but greater than 200 mm in diameter.   The pipework should be cut up or shredded.   If the pipe is very large or steel a separate demolition price should be prepared.  It does not inlcude pipework within a process plant.</v>
      </c>
    </row>
    <row r="37" spans="1:19" ht="48.75" thickBot="1" x14ac:dyDescent="0.3">
      <c r="A37" s="1133"/>
      <c r="B37" s="102" t="s">
        <v>283</v>
      </c>
      <c r="C37" s="259" t="str">
        <f>VLOOKUP($B37,Activities!$A$10:$P$152,3,FALSE)</f>
        <v>Demolition and Removal of Water Tanks (Metal or Concrete)</v>
      </c>
      <c r="D37" s="239" t="s">
        <v>49</v>
      </c>
      <c r="E37" s="240"/>
      <c r="F37" s="246" t="str">
        <f>VLOOKUP($B37,Activities!$A$10:$P$152,4,FALSE)</f>
        <v>m2</v>
      </c>
      <c r="G37" s="1269"/>
      <c r="H37" s="1270"/>
      <c r="I37" s="273">
        <f>VLOOKUP($B37,Activities!$A$10:$S$152,16,FALSE)</f>
        <v>298.27766728339105</v>
      </c>
      <c r="J37" s="269"/>
      <c r="K37" s="388">
        <f t="shared" si="2"/>
        <v>0</v>
      </c>
      <c r="L37" s="248" t="str">
        <f t="shared" si="3"/>
        <v>0.0%</v>
      </c>
      <c r="M37" s="290" t="str">
        <f>VLOOKUP($B37,Activities!$A$10:$S$152,19,FALSE)</f>
        <v xml:space="preserve">This activity covers the demolition and removal of tanks used in either the fresh or waste water treatment plants.  Rate assumes already decommissioned (drained and cleaned ready for demolition). </v>
      </c>
      <c r="O37" s="47"/>
      <c r="P37" s="47"/>
      <c r="Q37" s="47"/>
      <c r="R37" s="47"/>
      <c r="S37" s="47"/>
    </row>
    <row r="38" spans="1:19" ht="48.75" thickBot="1" x14ac:dyDescent="0.3">
      <c r="A38" s="1133"/>
      <c r="B38" s="102" t="s">
        <v>232</v>
      </c>
      <c r="C38" s="259" t="str">
        <f>VLOOKUP($B38,Activities!$A$10:$P$152,3,FALSE)</f>
        <v>Demolish heavy duty concrete structures, crusher and other equipment footings</v>
      </c>
      <c r="D38" s="239" t="s">
        <v>49</v>
      </c>
      <c r="E38" s="240"/>
      <c r="F38" s="246" t="str">
        <f>VLOOKUP($B38,Activities!$A$10:$P$152,4,FALSE)</f>
        <v>m2</v>
      </c>
      <c r="G38" s="1269"/>
      <c r="H38" s="1270"/>
      <c r="I38" s="273">
        <f>VLOOKUP($B38,Activities!$A$10:$S$152,16,FALSE)</f>
        <v>325.92646713928127</v>
      </c>
      <c r="J38" s="269"/>
      <c r="K38" s="388">
        <f t="shared" si="2"/>
        <v>0</v>
      </c>
      <c r="L38" s="248" t="str">
        <f t="shared" si="3"/>
        <v>0.0%</v>
      </c>
      <c r="M38" s="290" t="str">
        <f>VLOOKUP($B38,Activities!$A$10:$S$152,19,FALSE)</f>
        <v xml:space="preserve">The activity include the demolition and removal of the the heavy duty concrete footings and bases used for the support of major items of plant and equipment primarily around the processing plant.  </v>
      </c>
      <c r="P38" s="47"/>
      <c r="Q38" s="47"/>
      <c r="R38" s="47"/>
      <c r="S38" s="47"/>
    </row>
    <row r="39" spans="1:19" ht="48.75" thickBot="1" x14ac:dyDescent="0.3">
      <c r="A39" s="1133"/>
      <c r="B39" s="475" t="s">
        <v>79</v>
      </c>
      <c r="C39" s="259" t="str">
        <f>VLOOKUP($B39,Activities!$A$10:$P$152,3,FALSE)</f>
        <v>Minor Shaping across a Dump or Disturbed Area</v>
      </c>
      <c r="D39" s="239" t="s">
        <v>49</v>
      </c>
      <c r="E39" s="240"/>
      <c r="F39" s="246" t="str">
        <f>VLOOKUP($B39,Activities!$A$10:$P$152,4,FALSE)</f>
        <v>Ha</v>
      </c>
      <c r="G39" s="1269"/>
      <c r="H39" s="1270"/>
      <c r="I39" s="273">
        <f>VLOOKUP($B39,Activities!$A$10:$S$152,16,FALSE)</f>
        <v>2987.2221197728068</v>
      </c>
      <c r="J39" s="269"/>
      <c r="K39" s="388">
        <f t="shared" si="2"/>
        <v>0</v>
      </c>
      <c r="L39" s="248" t="str">
        <f t="shared" si="3"/>
        <v>0.0%</v>
      </c>
      <c r="M39" s="290" t="str">
        <f>VLOOKUP($B39,Activities!$A$10:$S$152,19,FALSE)</f>
        <v xml:space="preserve">This activity covers minor shaping shifting pushing across a dump or disturbed area.  It is based on a rate per hectare.  It covers area where there needs to be some clearing work, tidying up of disturbed ground,  but not just bulk pushing </v>
      </c>
    </row>
    <row r="40" spans="1:19" ht="50.25" customHeight="1" thickBot="1" x14ac:dyDescent="0.3">
      <c r="A40" s="1134"/>
      <c r="B40" s="245" t="s">
        <v>21</v>
      </c>
      <c r="C40" s="259" t="str">
        <f>VLOOKUP($B40,Activities!$A$10:$P$152,3,FALSE)</f>
        <v>Scarification to promote vegetation growth</v>
      </c>
      <c r="D40" s="239" t="s">
        <v>49</v>
      </c>
      <c r="E40" s="607"/>
      <c r="F40" s="246" t="str">
        <f>VLOOKUP($B40,Activities!$A$10:$P$152,4,FALSE)</f>
        <v>Ha</v>
      </c>
      <c r="G40" s="1269"/>
      <c r="H40" s="1270"/>
      <c r="I40" s="272">
        <f>Activities!P18</f>
        <v>323.54530924221694</v>
      </c>
      <c r="J40" s="269"/>
      <c r="K40" s="388">
        <f t="shared" si="2"/>
        <v>0</v>
      </c>
      <c r="L40" s="248" t="str">
        <f>IFERROR(IF(D40="Y",K40/$K$60,0%),"0.0%")</f>
        <v>0.0%</v>
      </c>
      <c r="M40" s="290" t="str">
        <f>VLOOKUP($B40,Activities!$A$10:$S$152,19,FALSE)</f>
        <v xml:space="preserve">This activity is undertaken in preparation for the seeding of a particular area.  </v>
      </c>
    </row>
    <row r="41" spans="1:19" ht="15.75" thickBot="1" x14ac:dyDescent="0.3">
      <c r="A41" s="111" t="s">
        <v>53</v>
      </c>
      <c r="B41" s="112" t="str">
        <f>A29</f>
        <v>Water and Sewage Infrastructure</v>
      </c>
      <c r="C41" s="103"/>
      <c r="D41" s="24"/>
      <c r="E41" s="25"/>
      <c r="F41" s="24"/>
      <c r="G41" s="24"/>
      <c r="H41" s="24"/>
      <c r="I41" s="26"/>
      <c r="J41" s="27"/>
      <c r="K41" s="28">
        <f>SUM(K29:K39)</f>
        <v>0</v>
      </c>
      <c r="L41" s="24"/>
      <c r="M41" s="43"/>
    </row>
    <row r="42" spans="1:19" ht="48.75" thickBot="1" x14ac:dyDescent="0.3">
      <c r="A42" s="1132" t="s">
        <v>429</v>
      </c>
      <c r="B42" s="102" t="s">
        <v>228</v>
      </c>
      <c r="C42" s="259" t="str">
        <f>VLOOKUP($B42,Activities!$A$10:$P$152,3,FALSE)</f>
        <v>Disconnection of Services to Area</v>
      </c>
      <c r="D42" s="239" t="s">
        <v>49</v>
      </c>
      <c r="E42" s="240"/>
      <c r="F42" s="246" t="str">
        <f>VLOOKUP($B42,Activities!$A$10:$P$152,4,FALSE)</f>
        <v>Item</v>
      </c>
      <c r="G42" s="1269"/>
      <c r="H42" s="1270"/>
      <c r="I42" s="273">
        <f>VLOOKUP($B42,Activities!$A$10:$S$152,16,FALSE)</f>
        <v>3678.6008957627482</v>
      </c>
      <c r="J42" s="269"/>
      <c r="K42" s="388">
        <f t="shared" ref="K42:K44" si="6">IF(D42="Y",IF(J42="",I42*E42,J42*E42),0)</f>
        <v>0</v>
      </c>
      <c r="L42" s="248" t="str">
        <f t="shared" ref="L42:L44" si="7">IFERROR(IF(D42="Y",K42/$K$58,0%),"0.0%")</f>
        <v>0.0%</v>
      </c>
      <c r="M42" s="290" t="str">
        <f>VLOOKUP($B42,Activities!$A$10:$S$152,19,FALSE)</f>
        <v>This Activity includes disconnecting and terminating all services such as power, water and sewer.  It covers the disconnection costs for an area.  Within a mine site there may be a number of areas which need to have services disconnected.</v>
      </c>
    </row>
    <row r="43" spans="1:19" ht="72.75" thickBot="1" x14ac:dyDescent="0.3">
      <c r="A43" s="1133"/>
      <c r="B43" s="102" t="s">
        <v>233</v>
      </c>
      <c r="C43" s="259" t="str">
        <f>VLOOKUP($B43,Activities!$A$10:$P$152,3,FALSE)</f>
        <v>Demolish and Removal of Pipework - Plastic (Borefields, tailing facilities, etc)</v>
      </c>
      <c r="D43" s="239" t="s">
        <v>49</v>
      </c>
      <c r="E43" s="240"/>
      <c r="F43" s="246" t="str">
        <f>VLOOKUP($B43,Activities!$A$10:$P$152,4,FALSE)</f>
        <v>m</v>
      </c>
      <c r="G43" s="1269"/>
      <c r="H43" s="1270"/>
      <c r="I43" s="272">
        <f>VLOOKUP($B43,Activities!$A$10:$S$152,16,FALSE)</f>
        <v>13.119651535666517</v>
      </c>
      <c r="J43" s="269"/>
      <c r="K43" s="388">
        <f t="shared" si="6"/>
        <v>0</v>
      </c>
      <c r="L43" s="248" t="str">
        <f t="shared" si="7"/>
        <v>0.0%</v>
      </c>
      <c r="M43" s="290" t="str">
        <f>VLOOKUP($B43,Activities!$A$10:$S$152,19,FALSE)</f>
        <v>The activity consists of removing all pipework within the area and disposing of this pipework in an approved dump on the site.  The pipework should be cut up or shredded.  The activity assumes that the pipe is &lt;200mm and is plastic in nature.  If the pipe is very large or steel a separate demolition price should be prepared.  It does not inlcude pipework within a process plant.</v>
      </c>
    </row>
    <row r="44" spans="1:19" ht="60.75" thickBot="1" x14ac:dyDescent="0.3">
      <c r="A44" s="1133"/>
      <c r="B44" s="102" t="s">
        <v>287</v>
      </c>
      <c r="C44" s="259" t="str">
        <f>VLOOKUP($B44,Activities!$A$10:$P$152,3,FALSE)</f>
        <v>Removal of submersible pumps (and/or Injection piping) from a bore</v>
      </c>
      <c r="D44" s="239" t="s">
        <v>49</v>
      </c>
      <c r="E44" s="240"/>
      <c r="F44" s="246" t="str">
        <f>VLOOKUP($B44,Activities!$A$10:$P$152,4,FALSE)</f>
        <v>Item</v>
      </c>
      <c r="G44" s="1269"/>
      <c r="H44" s="1270"/>
      <c r="I44" s="273">
        <f>VLOOKUP($B44,Activities!$A$10:$S$152,16,FALSE)</f>
        <v>984.19319545240057</v>
      </c>
      <c r="J44" s="269"/>
      <c r="K44" s="388">
        <f t="shared" si="6"/>
        <v>0</v>
      </c>
      <c r="L44" s="248" t="str">
        <f t="shared" si="7"/>
        <v>0.0%</v>
      </c>
      <c r="M44" s="290" t="str">
        <f>VLOOKUP($B44,Activities!$A$10:$S$152,19,FALSE)</f>
        <v>This activity covers the removal of a submersible pump from a bore including the attached downhole piping and can be applied to any bore hole that has specific downhole injection equipment.  The activity makes an allowance for the removal of the power cable from the bore to any well housing.</v>
      </c>
    </row>
    <row r="45" spans="1:19" ht="45.75" thickBot="1" x14ac:dyDescent="0.3">
      <c r="A45" s="1133"/>
      <c r="B45" s="102" t="s">
        <v>288</v>
      </c>
      <c r="C45" s="259" t="str">
        <f>VLOOKUP($B45,Activities!$A$10:$P$152,3,FALSE)</f>
        <v>Sealing and Plugging of a Well or Bore using Grout or Concrete</v>
      </c>
      <c r="D45" s="239" t="s">
        <v>49</v>
      </c>
      <c r="E45" s="320"/>
      <c r="F45" s="246" t="str">
        <f>VLOOKUP($B45,Activities!$A$10:$P$152,4,FALSE)</f>
        <v>No. of</v>
      </c>
      <c r="G45" s="533" t="s">
        <v>430</v>
      </c>
      <c r="H45" s="168"/>
      <c r="I45" s="272">
        <f>VLOOKUP($B45,Activities!$A$10:$S$152,16,FALSE)</f>
        <v>19.984441461889428</v>
      </c>
      <c r="J45" s="269"/>
      <c r="K45" s="387">
        <f>IF(D45="Y",IF(J45="",I45*E45*H45,J45*E45*H45),"")</f>
        <v>0</v>
      </c>
      <c r="L45" s="248" t="str">
        <f t="shared" ref="L45" si="8">IFERROR(IF(D45="Y",K45/$K$57,0%),"0.0%")</f>
        <v>0.0%</v>
      </c>
      <c r="M45" s="290" t="str">
        <f>VLOOKUP($B45,Activities!$A$10:$S$152,19,FALSE)</f>
        <v xml:space="preserve">This activiity covers the sealing of a bore or a well using a grout.  The assumpiton is that the bore or well is fully grouted to ensure that it is fully sealed. </v>
      </c>
    </row>
    <row r="46" spans="1:19" ht="60.75" thickBot="1" x14ac:dyDescent="0.3">
      <c r="A46" s="1133"/>
      <c r="B46" s="102" t="s">
        <v>426</v>
      </c>
      <c r="C46" s="259" t="str">
        <f>VLOOKUP($B46,Activities!$A$10:$P$152,3,FALSE)</f>
        <v>Removal of well head, cutting the casing and backfilling the area</v>
      </c>
      <c r="D46" s="239" t="s">
        <v>49</v>
      </c>
      <c r="E46" s="240"/>
      <c r="F46" s="246" t="str">
        <f>VLOOKUP($B46,Activities!$A$10:$P$152,4,FALSE)</f>
        <v>Item</v>
      </c>
      <c r="G46" s="1269"/>
      <c r="H46" s="1270"/>
      <c r="I46" s="273">
        <f>VLOOKUP($B46,Activities!$A$10:$S$152,16,FALSE)</f>
        <v>274.52042316806541</v>
      </c>
      <c r="J46" s="269"/>
      <c r="K46" s="388">
        <f t="shared" ref="K46:K50" si="9">IF(D46="Y",IF(J46="",I46*E46,J46*E46),0)</f>
        <v>0</v>
      </c>
      <c r="L46" s="248" t="str">
        <f t="shared" ref="L46:L50" si="10">IFERROR(IF(D46="Y",K46/$K$58,0%),"0.0%")</f>
        <v>0.0%</v>
      </c>
      <c r="M46" s="290" t="str">
        <f>VLOOKUP($B46,Activities!$A$10:$S$152,19,FALSE)</f>
        <v>This activity is the final actiivity for a well or bore.  It involves breaking up and removing of any concrete cap, excavating approximately 1 metres below ground level, cutting the casing off at least 0.5 metres below ground level and backfilling the hole to ground level with fill material and available topsoil.</v>
      </c>
    </row>
    <row r="47" spans="1:19" ht="60.75" thickBot="1" x14ac:dyDescent="0.3">
      <c r="A47" s="1133"/>
      <c r="B47" s="245" t="s">
        <v>434</v>
      </c>
      <c r="C47" s="259" t="str">
        <f>VLOOKUP($B47,Activities!$A$10:$P$152,3,FALSE)</f>
        <v>Removal and Disposal of Major Trunk Pipelines</v>
      </c>
      <c r="D47" s="239" t="s">
        <v>49</v>
      </c>
      <c r="E47" s="240"/>
      <c r="F47" s="246" t="str">
        <f>VLOOKUP($B47,Activities!$A$10:$P$152,4,FALSE)</f>
        <v>m</v>
      </c>
      <c r="G47" s="1269"/>
      <c r="H47" s="1270"/>
      <c r="I47" s="272">
        <f>VLOOKUP($B47,Activities!$A$10:$S$152,16,FALSE)</f>
        <v>32.467068764228138</v>
      </c>
      <c r="J47" s="269"/>
      <c r="K47" s="388">
        <f t="shared" si="9"/>
        <v>0</v>
      </c>
      <c r="L47" s="248" t="str">
        <f t="shared" si="10"/>
        <v>0.0%</v>
      </c>
      <c r="M47" s="290" t="str">
        <f>VLOOKUP($B47,Activities!$A$10:$S$152,19,FALSE)</f>
        <v>The activity relates specifically to the removal and disposal of trunk pipelines assumed to be plastic in nature but greater than 200 mm in diameter.   The pipework should be cut up or shredded.   If the pipe is very large or steel a separate demolition price should be prepared.  It does not inlcude pipework within a process plant.</v>
      </c>
    </row>
    <row r="48" spans="1:19" ht="48.75" thickBot="1" x14ac:dyDescent="0.3">
      <c r="A48" s="1133"/>
      <c r="B48" s="475" t="s">
        <v>79</v>
      </c>
      <c r="C48" s="259" t="str">
        <f>VLOOKUP($B48,Activities!$A$10:$P$152,3,FALSE)</f>
        <v>Minor Shaping across a Dump or Disturbed Area</v>
      </c>
      <c r="D48" s="239" t="s">
        <v>49</v>
      </c>
      <c r="E48" s="240"/>
      <c r="F48" s="246" t="str">
        <f>VLOOKUP($B48,Activities!$A$10:$P$152,4,FALSE)</f>
        <v>Ha</v>
      </c>
      <c r="G48" s="1269"/>
      <c r="H48" s="1270"/>
      <c r="I48" s="272">
        <f>VLOOKUP($B48,Activities!$A$10:$S$152,16,FALSE)</f>
        <v>2987.2221197728068</v>
      </c>
      <c r="J48" s="269"/>
      <c r="K48" s="388">
        <f t="shared" si="9"/>
        <v>0</v>
      </c>
      <c r="L48" s="248" t="str">
        <f t="shared" si="10"/>
        <v>0.0%</v>
      </c>
      <c r="M48" s="290" t="str">
        <f>VLOOKUP($B48,Activities!$A$10:$S$152,19,FALSE)</f>
        <v xml:space="preserve">This activity covers minor shaping shifting pushing across a dump or disturbed area.  It is based on a rate per hectare.  It covers area where there needs to be some clearing work, tidying up of disturbed ground,  but not just bulk pushing </v>
      </c>
    </row>
    <row r="49" spans="1:13" ht="49.5" customHeight="1" thickBot="1" x14ac:dyDescent="0.3">
      <c r="A49" s="1133"/>
      <c r="B49" s="245" t="s">
        <v>21</v>
      </c>
      <c r="C49" s="259" t="str">
        <f>VLOOKUP($B49,Activities!$A$10:$P$152,3,FALSE)</f>
        <v>Scarification to promote vegetation growth</v>
      </c>
      <c r="D49" s="239" t="s">
        <v>49</v>
      </c>
      <c r="E49" s="607"/>
      <c r="F49" s="246" t="str">
        <f>VLOOKUP($B49,Activities!$A$10:$P$152,4,FALSE)</f>
        <v>Ha</v>
      </c>
      <c r="G49" s="1269"/>
      <c r="H49" s="1270"/>
      <c r="I49" s="272">
        <f>VLOOKUP($B49,Activities!$A$10:$S$152,16,FALSE)</f>
        <v>323.54530924221694</v>
      </c>
      <c r="J49" s="269"/>
      <c r="K49" s="388">
        <f t="shared" si="9"/>
        <v>0</v>
      </c>
      <c r="L49" s="248" t="str">
        <f>IFERROR(IF(D49="Y",K49/$K$60,0%),"0.0%")</f>
        <v>0.0%</v>
      </c>
      <c r="M49" s="290" t="str">
        <f>VLOOKUP($B49,Activities!$A$10:$S$152,19,FALSE)</f>
        <v xml:space="preserve">This activity is undertaken in preparation for the seeding of a particular area.  </v>
      </c>
    </row>
    <row r="50" spans="1:13" ht="72.75" thickBot="1" x14ac:dyDescent="0.3">
      <c r="A50" s="1134"/>
      <c r="B50" s="86" t="s">
        <v>251</v>
      </c>
      <c r="C50" s="259" t="str">
        <f>VLOOKUP($B50,Activities!$A$10:$P$152,3,FALSE)</f>
        <v>Scarification and ripping of Haul and Access Roads</v>
      </c>
      <c r="D50" s="239" t="s">
        <v>49</v>
      </c>
      <c r="E50" s="240"/>
      <c r="F50" s="246" t="str">
        <f>VLOOKUP($B50,Activities!$A$10:$P$152,4,FALSE)</f>
        <v>km</v>
      </c>
      <c r="G50" s="1269"/>
      <c r="H50" s="1270"/>
      <c r="I50" s="272">
        <f>VLOOKUP($B50,Activities!$A$10:$S$152,16,FALSE)</f>
        <v>817.62150792547607</v>
      </c>
      <c r="J50" s="269"/>
      <c r="K50" s="388">
        <f t="shared" si="9"/>
        <v>0</v>
      </c>
      <c r="L50" s="248" t="str">
        <f t="shared" si="10"/>
        <v>0.0%</v>
      </c>
      <c r="M50" s="290" t="str">
        <f>VLOOKUP($B50,Activities!$A$10:$S$152,19,FALSE)</f>
        <v>This activity is specifically minor shaping and for the scarification and where necessary the deep ripping of Haul and Access roads to allow natural re-vegetation to occurr.   It is appropriate for access roads and tracks of a width of 5 metres and of minimal construction.  (Access to drill locations and minor areas) ( For major constructed haul roads  20m in width use A1039)</v>
      </c>
    </row>
    <row r="51" spans="1:13" ht="15.75" thickBot="1" x14ac:dyDescent="0.3">
      <c r="A51" s="21" t="s">
        <v>53</v>
      </c>
      <c r="B51" s="112" t="str">
        <f>A42</f>
        <v>Borefields including water fields and insitu leaching fields</v>
      </c>
      <c r="C51" s="23"/>
      <c r="D51" s="24"/>
      <c r="E51" s="25"/>
      <c r="F51" s="24"/>
      <c r="G51" s="24"/>
      <c r="H51" s="24"/>
      <c r="I51" s="26"/>
      <c r="J51" s="27"/>
      <c r="K51" s="28">
        <f>SUM(K42:K50)</f>
        <v>0</v>
      </c>
      <c r="L51" s="24"/>
      <c r="M51" s="43"/>
    </row>
    <row r="52" spans="1:13" ht="79.5" thickBot="1" x14ac:dyDescent="0.3">
      <c r="A52" s="1361" t="s">
        <v>431</v>
      </c>
      <c r="B52" s="104" t="s">
        <v>242</v>
      </c>
      <c r="C52" s="259" t="str">
        <f>VLOOKUP($B52,Activities!$A$10:$P$152,3,FALSE)</f>
        <v xml:space="preserve">Excavation of contaminated materials (earthen materials contaminated by metals, hydrocarbons, putrescible waste management etc) </v>
      </c>
      <c r="D52" s="239" t="s">
        <v>49</v>
      </c>
      <c r="E52" s="240"/>
      <c r="F52" s="246" t="str">
        <f>VLOOKUP($B52,Activities!$A$10:$P$152,4,FALSE)</f>
        <v>m3</v>
      </c>
      <c r="G52" s="1269"/>
      <c r="H52" s="1270"/>
      <c r="I52" s="272">
        <f>VLOOKUP($B52,Activities!$A$10:$S$152,16,FALSE)</f>
        <v>3.7375919690128194</v>
      </c>
      <c r="J52" s="269"/>
      <c r="K52" s="388">
        <f t="shared" ref="K52" si="11">IF(D52="Y",IF(J52="",I52*E52,J52*E52),0)</f>
        <v>0</v>
      </c>
      <c r="L52" s="248" t="str">
        <f>IFERROR(IF(D52="Y",K52/$K$58,0%),"0.0%")</f>
        <v>0.0%</v>
      </c>
      <c r="M52" s="290" t="str">
        <f>VLOOKUP($B52,Activities!$A$10:$S$152,19,FALSE)</f>
        <v>This assumes material can be removed to an approved dump on the mine site.  If such material needs to be transported off site, a separate quotation should be obtained for this activity.</v>
      </c>
    </row>
    <row r="53" spans="1:13" ht="49.5" customHeight="1" thickBot="1" x14ac:dyDescent="0.3">
      <c r="A53" s="1361"/>
      <c r="B53" s="480"/>
      <c r="C53" s="218" t="s">
        <v>55</v>
      </c>
      <c r="D53" s="239" t="s">
        <v>49</v>
      </c>
      <c r="E53" s="320"/>
      <c r="F53" s="166"/>
      <c r="G53" s="1269"/>
      <c r="H53" s="1270"/>
      <c r="I53" s="355" t="s">
        <v>475</v>
      </c>
      <c r="J53" s="269"/>
      <c r="K53" s="387">
        <f>IF(D53="Y",J53*E53,"")</f>
        <v>0</v>
      </c>
      <c r="L53" s="248" t="str">
        <f>IFERROR(IF(D53="Y",K53/$K$57,0%),"0.0%")</f>
        <v>0.0%</v>
      </c>
      <c r="M53" s="139" t="s">
        <v>56</v>
      </c>
    </row>
    <row r="54" spans="1:13" ht="49.5" customHeight="1" thickBot="1" x14ac:dyDescent="0.3">
      <c r="A54" s="1361"/>
      <c r="B54" s="480"/>
      <c r="C54" s="218" t="s">
        <v>55</v>
      </c>
      <c r="D54" s="239" t="s">
        <v>49</v>
      </c>
      <c r="E54" s="320"/>
      <c r="F54" s="166"/>
      <c r="G54" s="1269"/>
      <c r="H54" s="1270"/>
      <c r="I54" s="355" t="s">
        <v>475</v>
      </c>
      <c r="J54" s="269"/>
      <c r="K54" s="387">
        <f>IF(D54="Y",J54*E54,"")</f>
        <v>0</v>
      </c>
      <c r="L54" s="248" t="str">
        <f>IFERROR(IF(D54="Y",K54/$K$57,0%),"0.0%")</f>
        <v>0.0%</v>
      </c>
      <c r="M54" s="139" t="s">
        <v>56</v>
      </c>
    </row>
    <row r="55" spans="1:13" ht="15.75" thickBot="1" x14ac:dyDescent="0.3">
      <c r="A55" s="21" t="s">
        <v>53</v>
      </c>
      <c r="B55" s="112" t="str">
        <f>A52</f>
        <v>Other Activity in respect of Services</v>
      </c>
      <c r="C55" s="23"/>
      <c r="D55" s="24"/>
      <c r="E55" s="25"/>
      <c r="F55" s="24"/>
      <c r="G55" s="24"/>
      <c r="H55" s="24"/>
      <c r="I55" s="26"/>
      <c r="J55" s="27"/>
      <c r="K55" s="28">
        <f>SUM(K52:K54)</f>
        <v>0</v>
      </c>
      <c r="L55" s="24"/>
      <c r="M55" s="29"/>
    </row>
    <row r="56" spans="1:13" x14ac:dyDescent="0.25">
      <c r="A56" s="3"/>
      <c r="B56" s="481"/>
      <c r="C56" s="30"/>
      <c r="D56" s="9"/>
      <c r="E56" s="31"/>
      <c r="F56" s="9"/>
      <c r="G56" s="9"/>
      <c r="H56" s="9"/>
      <c r="I56" s="32"/>
      <c r="J56" s="2"/>
      <c r="K56" s="77"/>
      <c r="L56" s="9"/>
      <c r="M56" s="30"/>
    </row>
    <row r="57" spans="1:13" ht="21" x14ac:dyDescent="0.25">
      <c r="A57" s="3"/>
      <c r="B57" s="481"/>
      <c r="C57" s="30"/>
      <c r="D57" s="9"/>
      <c r="E57" s="31"/>
      <c r="F57" s="9"/>
      <c r="G57" s="9"/>
      <c r="H57" s="9"/>
      <c r="J57" s="34" t="s">
        <v>299</v>
      </c>
      <c r="K57" s="53">
        <f>K55+K51+K41+K28</f>
        <v>0</v>
      </c>
      <c r="L57" s="9"/>
      <c r="M57" s="30"/>
    </row>
    <row r="58" spans="1:13" x14ac:dyDescent="0.25">
      <c r="A58" s="3"/>
      <c r="B58" s="481"/>
      <c r="C58" s="30"/>
      <c r="D58" s="9"/>
      <c r="E58" s="31"/>
      <c r="F58" s="9"/>
      <c r="G58" s="9"/>
      <c r="H58" s="9"/>
      <c r="I58" s="32"/>
      <c r="J58" s="2"/>
      <c r="K58" s="77"/>
      <c r="L58" s="9"/>
      <c r="M58" s="30"/>
    </row>
    <row r="59" spans="1:13" x14ac:dyDescent="0.25">
      <c r="A59" s="3"/>
      <c r="B59" s="481"/>
      <c r="C59" s="30"/>
      <c r="D59" s="9"/>
      <c r="E59" s="31"/>
      <c r="F59" s="9"/>
      <c r="G59" s="9"/>
      <c r="H59" s="9"/>
      <c r="I59" s="32"/>
      <c r="J59" s="2"/>
      <c r="K59" s="77"/>
      <c r="L59" s="9"/>
      <c r="M59" s="30"/>
    </row>
    <row r="60" spans="1:13" x14ac:dyDescent="0.25">
      <c r="A60" s="3"/>
      <c r="B60" s="481"/>
      <c r="C60" s="30"/>
      <c r="D60" s="9"/>
      <c r="E60" s="31"/>
      <c r="F60" s="9"/>
      <c r="G60" s="9"/>
      <c r="H60" s="9"/>
      <c r="I60" s="32"/>
      <c r="J60" s="2"/>
      <c r="K60" s="77"/>
      <c r="L60" s="9"/>
      <c r="M60" s="30"/>
    </row>
    <row r="61" spans="1:13" x14ac:dyDescent="0.25">
      <c r="A61" s="3"/>
      <c r="B61" s="481"/>
      <c r="C61" s="30"/>
      <c r="D61" s="9"/>
      <c r="E61" s="31"/>
      <c r="F61" s="9"/>
      <c r="G61" s="9"/>
      <c r="H61" s="9"/>
      <c r="I61" s="32"/>
      <c r="J61" s="2"/>
      <c r="K61" s="77"/>
      <c r="L61" s="9"/>
      <c r="M61" s="30"/>
    </row>
    <row r="62" spans="1:13" x14ac:dyDescent="0.25">
      <c r="A62" s="3"/>
      <c r="B62" s="481"/>
      <c r="C62" s="30"/>
      <c r="D62" s="9"/>
      <c r="E62" s="31"/>
      <c r="F62" s="9"/>
      <c r="G62" s="9"/>
      <c r="H62" s="9"/>
      <c r="I62" s="32"/>
      <c r="J62" s="2"/>
      <c r="K62" s="77"/>
      <c r="L62" s="9"/>
      <c r="M62" s="30"/>
    </row>
    <row r="63" spans="1:13" x14ac:dyDescent="0.25">
      <c r="A63" s="3"/>
      <c r="B63" s="481"/>
      <c r="C63" s="30"/>
      <c r="D63" s="9"/>
      <c r="E63" s="31"/>
      <c r="F63" s="9"/>
      <c r="G63" s="9"/>
      <c r="H63" s="9"/>
      <c r="I63" s="32"/>
      <c r="J63" s="2"/>
      <c r="K63" s="77"/>
      <c r="L63" s="9"/>
      <c r="M63" s="30"/>
    </row>
    <row r="64" spans="1:13" x14ac:dyDescent="0.25">
      <c r="A64" s="3"/>
      <c r="B64" s="481"/>
      <c r="C64" s="30"/>
      <c r="D64" s="9"/>
      <c r="E64" s="31"/>
      <c r="F64" s="9"/>
      <c r="G64" s="9"/>
      <c r="H64" s="9"/>
      <c r="I64" s="32"/>
      <c r="J64" s="2"/>
      <c r="K64" s="77"/>
      <c r="L64" s="9"/>
      <c r="M64" s="30"/>
    </row>
    <row r="65" spans="1:13" x14ac:dyDescent="0.25">
      <c r="A65" s="3"/>
      <c r="B65" s="481"/>
      <c r="C65" s="30"/>
      <c r="D65" s="9"/>
      <c r="E65" s="31"/>
      <c r="F65" s="9"/>
      <c r="G65" s="9"/>
      <c r="H65" s="9"/>
      <c r="I65" s="32"/>
      <c r="J65" s="2"/>
      <c r="K65" s="77"/>
      <c r="L65" s="9"/>
      <c r="M65" s="30"/>
    </row>
    <row r="66" spans="1:13" x14ac:dyDescent="0.25">
      <c r="A66" s="3"/>
      <c r="B66" s="481"/>
      <c r="C66" s="30"/>
      <c r="D66" s="9"/>
      <c r="E66" s="31"/>
      <c r="F66" s="9"/>
      <c r="G66" s="9"/>
      <c r="H66" s="9"/>
      <c r="I66" s="32"/>
      <c r="J66" s="2"/>
      <c r="K66" s="77"/>
      <c r="L66" s="9"/>
      <c r="M66" s="30"/>
    </row>
    <row r="67" spans="1:13" x14ac:dyDescent="0.25">
      <c r="A67" s="3"/>
      <c r="B67" s="481"/>
      <c r="C67" s="30"/>
      <c r="D67" s="9"/>
      <c r="E67" s="31"/>
      <c r="F67" s="9"/>
      <c r="G67" s="9"/>
      <c r="H67" s="9"/>
      <c r="I67" s="32"/>
      <c r="J67" s="2"/>
      <c r="K67" s="77"/>
      <c r="L67" s="9"/>
      <c r="M67" s="30"/>
    </row>
    <row r="68" spans="1:13" x14ac:dyDescent="0.25">
      <c r="A68" s="3"/>
      <c r="B68" s="481"/>
      <c r="C68" s="30"/>
      <c r="D68" s="9"/>
      <c r="E68" s="31"/>
      <c r="F68" s="9"/>
      <c r="G68" s="9"/>
      <c r="H68" s="9"/>
      <c r="I68" s="32"/>
      <c r="J68" s="2"/>
      <c r="K68" s="77"/>
      <c r="L68" s="9"/>
      <c r="M68" s="30"/>
    </row>
    <row r="69" spans="1:13" x14ac:dyDescent="0.25">
      <c r="A69" s="3"/>
      <c r="B69" s="481"/>
      <c r="C69" s="30"/>
      <c r="D69" s="9"/>
      <c r="E69" s="9"/>
      <c r="F69" s="9"/>
      <c r="G69" s="9"/>
      <c r="H69" s="9"/>
      <c r="I69" s="32"/>
      <c r="J69" s="2"/>
      <c r="K69" s="77"/>
      <c r="L69" s="9"/>
      <c r="M69" s="30"/>
    </row>
    <row r="70" spans="1:13" x14ac:dyDescent="0.25">
      <c r="B70" s="481"/>
      <c r="C70" s="30"/>
      <c r="D70" s="9"/>
      <c r="E70" s="9"/>
      <c r="F70" s="9"/>
      <c r="G70" s="9"/>
      <c r="H70" s="9"/>
      <c r="I70" s="32"/>
      <c r="J70" s="2"/>
      <c r="K70" s="77"/>
      <c r="L70" s="9"/>
      <c r="M70" s="30"/>
    </row>
    <row r="71" spans="1:13" x14ac:dyDescent="0.25">
      <c r="C71" s="30"/>
      <c r="D71" s="9"/>
      <c r="E71" s="9"/>
      <c r="F71" s="9"/>
      <c r="G71" s="9"/>
      <c r="H71" s="9"/>
      <c r="I71" s="32"/>
      <c r="J71" s="2"/>
      <c r="K71" s="9"/>
      <c r="L71" s="9"/>
      <c r="M71" s="30"/>
    </row>
    <row r="72" spans="1:13" x14ac:dyDescent="0.25">
      <c r="C72" s="30"/>
      <c r="D72" s="9"/>
      <c r="E72" s="9"/>
      <c r="F72" s="9"/>
      <c r="G72" s="9"/>
      <c r="H72" s="9"/>
      <c r="I72" s="32"/>
      <c r="J72" s="2"/>
      <c r="K72" s="9"/>
      <c r="L72" s="9"/>
      <c r="M72" s="30"/>
    </row>
    <row r="73" spans="1:13" x14ac:dyDescent="0.25">
      <c r="C73" s="30"/>
      <c r="D73" s="9"/>
      <c r="E73" s="9"/>
      <c r="F73" s="9"/>
      <c r="G73" s="9"/>
      <c r="H73" s="9"/>
      <c r="I73" s="9"/>
      <c r="J73" s="9"/>
      <c r="K73" s="9"/>
      <c r="L73" s="9"/>
      <c r="M73" s="30"/>
    </row>
    <row r="74" spans="1:13" x14ac:dyDescent="0.25">
      <c r="D74" s="9"/>
      <c r="E74" s="9"/>
      <c r="F74" s="9"/>
      <c r="G74" s="9"/>
      <c r="H74" s="9"/>
      <c r="I74" s="9"/>
      <c r="J74" s="9"/>
      <c r="K74" s="9"/>
      <c r="L74" s="9"/>
    </row>
    <row r="75" spans="1:13" x14ac:dyDescent="0.25">
      <c r="D75" s="9"/>
      <c r="E75" s="9"/>
      <c r="F75" s="9"/>
      <c r="G75" s="9"/>
      <c r="H75" s="9"/>
      <c r="I75" s="9"/>
      <c r="J75" s="9"/>
      <c r="K75" s="9"/>
      <c r="L75" s="9"/>
    </row>
    <row r="76" spans="1:13" x14ac:dyDescent="0.25">
      <c r="D76" s="9"/>
      <c r="E76" s="9"/>
      <c r="F76" s="9"/>
      <c r="G76" s="9"/>
      <c r="H76" s="9"/>
      <c r="I76" s="9"/>
      <c r="J76" s="9"/>
      <c r="K76" s="9"/>
      <c r="L76" s="9"/>
    </row>
    <row r="77" spans="1:13" x14ac:dyDescent="0.25">
      <c r="D77" s="9"/>
      <c r="E77" s="9"/>
      <c r="F77" s="9"/>
      <c r="G77" s="9"/>
      <c r="H77" s="9"/>
      <c r="I77" s="9"/>
      <c r="J77" s="9"/>
      <c r="K77" s="9"/>
      <c r="L77" s="9"/>
    </row>
    <row r="78" spans="1:13" x14ac:dyDescent="0.25">
      <c r="D78" s="9"/>
      <c r="E78" s="9"/>
      <c r="F78" s="9"/>
      <c r="G78" s="9"/>
      <c r="H78" s="9"/>
      <c r="I78" s="9"/>
      <c r="J78" s="9"/>
      <c r="K78" s="9"/>
      <c r="L78" s="9"/>
    </row>
    <row r="79" spans="1:13" x14ac:dyDescent="0.25">
      <c r="D79" s="9"/>
      <c r="E79" s="9"/>
      <c r="F79" s="9"/>
      <c r="G79" s="9"/>
      <c r="H79" s="9"/>
      <c r="I79" s="9"/>
      <c r="J79" s="9"/>
      <c r="K79" s="9"/>
      <c r="L79" s="9"/>
    </row>
    <row r="80" spans="1:13" x14ac:dyDescent="0.25">
      <c r="D80" s="9"/>
      <c r="E80" s="9"/>
      <c r="F80" s="9"/>
      <c r="G80" s="9"/>
      <c r="H80" s="9"/>
      <c r="I80" s="9"/>
      <c r="J80" s="9"/>
      <c r="K80" s="9"/>
      <c r="L80" s="9"/>
    </row>
    <row r="81" spans="4:12" x14ac:dyDescent="0.25">
      <c r="D81" s="9"/>
      <c r="E81" s="9"/>
      <c r="F81" s="9"/>
      <c r="G81" s="9"/>
      <c r="H81" s="9"/>
      <c r="I81" s="9"/>
      <c r="J81" s="9"/>
      <c r="K81" s="9"/>
      <c r="L81" s="9"/>
    </row>
    <row r="82" spans="4:12" x14ac:dyDescent="0.25">
      <c r="D82" s="9"/>
      <c r="E82" s="9"/>
      <c r="F82" s="9"/>
      <c r="G82" s="9"/>
      <c r="H82" s="9"/>
      <c r="I82" s="9"/>
      <c r="J82" s="9"/>
      <c r="K82" s="9"/>
      <c r="L82" s="9"/>
    </row>
    <row r="83" spans="4:12" x14ac:dyDescent="0.25">
      <c r="D83" s="9"/>
      <c r="E83" s="9"/>
      <c r="F83" s="9"/>
      <c r="G83" s="9"/>
      <c r="H83" s="9"/>
      <c r="I83" s="9"/>
      <c r="J83" s="9"/>
      <c r="K83" s="9"/>
      <c r="L83" s="9"/>
    </row>
    <row r="84" spans="4:12" x14ac:dyDescent="0.25">
      <c r="D84" s="9"/>
      <c r="E84" s="9"/>
      <c r="F84" s="9"/>
      <c r="G84" s="9"/>
      <c r="H84" s="9"/>
      <c r="I84" s="9"/>
      <c r="J84" s="9"/>
      <c r="K84" s="9"/>
      <c r="L84" s="9"/>
    </row>
    <row r="85" spans="4:12" x14ac:dyDescent="0.25">
      <c r="D85" s="9"/>
      <c r="E85" s="9"/>
      <c r="F85" s="9"/>
      <c r="G85" s="9"/>
      <c r="H85" s="9"/>
      <c r="I85" s="9"/>
      <c r="J85" s="9"/>
      <c r="K85" s="9"/>
      <c r="L85" s="9"/>
    </row>
  </sheetData>
  <sheetProtection algorithmName="SHA-512" hashValue="ucPTQEnY4KqCPNIRr4j6rXP/vRMHzbiRp+cMIlNbkyChDT+opabHB0T0Rj0gjn/E7BqAa6giGb8XkDyqvtG0iw==" saltValue="8wqKQVY7dqYrDTpKZ8ALeA==" spinCount="100000" sheet="1" formatCells="0" formatRows="0" selectLockedCells="1"/>
  <mergeCells count="56">
    <mergeCell ref="L20:M20"/>
    <mergeCell ref="A5:E6"/>
    <mergeCell ref="G5:J5"/>
    <mergeCell ref="G6:M7"/>
    <mergeCell ref="B7:E7"/>
    <mergeCell ref="B8:E8"/>
    <mergeCell ref="G8:M19"/>
    <mergeCell ref="B9:E9"/>
    <mergeCell ref="B10:E10"/>
    <mergeCell ref="B11:E11"/>
    <mergeCell ref="B12:E12"/>
    <mergeCell ref="A14:B14"/>
    <mergeCell ref="C14:E14"/>
    <mergeCell ref="A15:B15"/>
    <mergeCell ref="C15:E15"/>
    <mergeCell ref="A1:B1"/>
    <mergeCell ref="C1:E1"/>
    <mergeCell ref="F1:J3"/>
    <mergeCell ref="K1:L1"/>
    <mergeCell ref="C2:E2"/>
    <mergeCell ref="C3:E3"/>
    <mergeCell ref="G27:H27"/>
    <mergeCell ref="G36:H36"/>
    <mergeCell ref="G38:H38"/>
    <mergeCell ref="A16:E19"/>
    <mergeCell ref="A22:A27"/>
    <mergeCell ref="G34:H34"/>
    <mergeCell ref="G21:H21"/>
    <mergeCell ref="G23:H23"/>
    <mergeCell ref="G24:H24"/>
    <mergeCell ref="G25:H25"/>
    <mergeCell ref="G26:H26"/>
    <mergeCell ref="G22:H22"/>
    <mergeCell ref="G33:H33"/>
    <mergeCell ref="G29:H29"/>
    <mergeCell ref="G32:H32"/>
    <mergeCell ref="G30:H30"/>
    <mergeCell ref="G53:H53"/>
    <mergeCell ref="A42:A50"/>
    <mergeCell ref="A52:A54"/>
    <mergeCell ref="G54:H54"/>
    <mergeCell ref="G40:H40"/>
    <mergeCell ref="G42:H42"/>
    <mergeCell ref="G43:H43"/>
    <mergeCell ref="G44:H44"/>
    <mergeCell ref="G46:H46"/>
    <mergeCell ref="G48:H48"/>
    <mergeCell ref="G49:H49"/>
    <mergeCell ref="G50:H50"/>
    <mergeCell ref="G47:H47"/>
    <mergeCell ref="G31:H31"/>
    <mergeCell ref="G39:H39"/>
    <mergeCell ref="A29:A40"/>
    <mergeCell ref="G52:H52"/>
    <mergeCell ref="G35:H35"/>
    <mergeCell ref="G37:H37"/>
  </mergeCells>
  <pageMargins left="0.70866141732283472" right="0.70866141732283472" top="0.74803149606299213" bottom="0.74803149606299213" header="0.31496062992125984" footer="0.31496062992125984"/>
  <pageSetup paperSize="9" scale="52" fitToHeight="3" orientation="landscape" r:id="rId1"/>
  <headerFooter>
    <oddHeader>&amp;LDepartment for Energy and Mining&amp;C&amp;"Arial"&amp;12&amp;KA80000 OFFICIAL&amp;1#_x000D_</oddHeader>
    <oddFooter>&amp;L&amp;Z
&amp;F&amp;C&amp;P&amp;R&amp;D</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AU72"/>
  <sheetViews>
    <sheetView showGridLines="0" workbookViewId="0">
      <selection activeCell="E46" sqref="E46:G46"/>
    </sheetView>
  </sheetViews>
  <sheetFormatPr defaultRowHeight="15" x14ac:dyDescent="0.25"/>
  <cols>
    <col min="3" max="3" width="9.7109375" bestFit="1" customWidth="1"/>
    <col min="10" max="10" width="18.28515625" customWidth="1"/>
    <col min="39" max="39" width="37.140625" bestFit="1" customWidth="1"/>
  </cols>
  <sheetData>
    <row r="1" spans="1:35" x14ac:dyDescent="0.25">
      <c r="A1" s="15"/>
      <c r="B1" s="15"/>
      <c r="C1" s="15"/>
      <c r="D1" s="15"/>
      <c r="E1" s="15"/>
      <c r="F1" s="15"/>
      <c r="G1" s="15"/>
      <c r="H1" s="15"/>
      <c r="I1" s="15"/>
      <c r="J1" s="15"/>
    </row>
    <row r="2" spans="1:35" x14ac:dyDescent="0.25">
      <c r="A2" s="15"/>
      <c r="B2" s="15"/>
      <c r="C2" s="15"/>
      <c r="D2" s="15"/>
      <c r="E2" s="15"/>
      <c r="F2" s="15"/>
      <c r="G2" s="15"/>
      <c r="H2" s="15"/>
      <c r="I2" s="15"/>
      <c r="J2" s="15"/>
    </row>
    <row r="3" spans="1:35" x14ac:dyDescent="0.25">
      <c r="A3" s="15"/>
      <c r="B3" s="15"/>
      <c r="C3" s="15"/>
      <c r="D3" s="15"/>
      <c r="E3" s="15"/>
      <c r="F3" s="15"/>
      <c r="G3" s="15"/>
      <c r="H3" s="15"/>
      <c r="I3" s="15"/>
      <c r="J3" s="15"/>
    </row>
    <row r="4" spans="1:35" ht="32.25" customHeight="1" x14ac:dyDescent="0.25">
      <c r="A4" s="15"/>
      <c r="B4" s="15"/>
      <c r="C4" s="15"/>
      <c r="D4" s="15"/>
      <c r="E4" s="15"/>
      <c r="F4" s="15"/>
      <c r="G4" s="15"/>
      <c r="H4" s="15"/>
      <c r="I4" s="15"/>
      <c r="J4" s="15"/>
    </row>
    <row r="5" spans="1:35" ht="26.25" x14ac:dyDescent="0.4">
      <c r="A5" s="715" t="s">
        <v>952</v>
      </c>
      <c r="B5" s="15"/>
      <c r="C5" s="15"/>
      <c r="D5" s="15"/>
      <c r="E5" s="15"/>
      <c r="F5" s="15"/>
      <c r="G5" s="15"/>
      <c r="H5" s="15"/>
      <c r="I5" s="15"/>
      <c r="J5" s="15"/>
    </row>
    <row r="6" spans="1:35" s="59" customFormat="1" ht="15.75" x14ac:dyDescent="0.25">
      <c r="A6" s="1048" t="s">
        <v>265</v>
      </c>
      <c r="B6" s="1048"/>
      <c r="C6" s="1050">
        <f>'Version Control'!B50</f>
        <v>7</v>
      </c>
      <c r="D6" s="1050"/>
      <c r="E6" s="62"/>
      <c r="F6" s="62"/>
      <c r="G6" s="62"/>
      <c r="H6" s="62"/>
      <c r="I6" s="62"/>
      <c r="J6" s="62"/>
      <c r="AG6" s="5" t="s">
        <v>119</v>
      </c>
    </row>
    <row r="7" spans="1:35" s="59" customFormat="1" x14ac:dyDescent="0.25">
      <c r="A7" s="1048" t="s">
        <v>266</v>
      </c>
      <c r="B7" s="1048"/>
      <c r="C7" s="1049">
        <f>'Version Control'!A50</f>
        <v>45531</v>
      </c>
      <c r="D7" s="1049"/>
      <c r="E7" s="62"/>
      <c r="F7" s="62"/>
      <c r="G7" s="62"/>
      <c r="H7" s="62"/>
      <c r="I7" s="62"/>
      <c r="J7" s="62"/>
      <c r="AG7" s="64" t="s">
        <v>120</v>
      </c>
      <c r="AH7" s="60"/>
      <c r="AI7" s="61"/>
    </row>
    <row r="8" spans="1:35" s="59" customFormat="1" ht="7.5" customHeight="1" x14ac:dyDescent="0.25">
      <c r="A8" s="705"/>
      <c r="B8" s="705"/>
      <c r="C8" s="706"/>
      <c r="D8" s="706"/>
      <c r="E8" s="62"/>
      <c r="F8" s="62"/>
      <c r="G8" s="62"/>
      <c r="H8" s="62"/>
      <c r="I8" s="62"/>
      <c r="J8" s="62"/>
      <c r="AG8" s="65" t="s">
        <v>121</v>
      </c>
      <c r="AH8" s="62"/>
      <c r="AI8" s="63"/>
    </row>
    <row r="9" spans="1:35" ht="23.25" x14ac:dyDescent="0.35">
      <c r="A9" s="716" t="s">
        <v>118</v>
      </c>
      <c r="B9" s="15"/>
      <c r="C9" s="15"/>
      <c r="D9" s="15"/>
      <c r="E9" s="15"/>
      <c r="F9" s="15"/>
      <c r="G9" s="15"/>
      <c r="H9" s="15"/>
      <c r="I9" s="15"/>
      <c r="J9" s="15"/>
      <c r="AG9" s="65" t="s">
        <v>1271</v>
      </c>
      <c r="AH9" s="62"/>
      <c r="AI9" s="63"/>
    </row>
    <row r="10" spans="1:35" ht="7.5" customHeight="1" x14ac:dyDescent="0.25">
      <c r="A10" s="15"/>
      <c r="B10" s="15"/>
      <c r="C10" s="15"/>
      <c r="D10" s="15"/>
      <c r="E10" s="15"/>
      <c r="F10" s="15"/>
      <c r="G10" s="15"/>
      <c r="H10" s="15"/>
      <c r="I10" s="15"/>
      <c r="J10" s="15"/>
      <c r="AG10" s="65" t="s">
        <v>1272</v>
      </c>
      <c r="AH10" s="62"/>
      <c r="AI10" s="63"/>
    </row>
    <row r="11" spans="1:35" ht="23.25" x14ac:dyDescent="0.35">
      <c r="A11" s="716" t="s">
        <v>93</v>
      </c>
      <c r="B11" s="15"/>
      <c r="C11" s="15"/>
      <c r="D11" s="15"/>
      <c r="E11" s="15"/>
      <c r="F11" s="15"/>
      <c r="G11" s="15"/>
      <c r="H11" s="15"/>
      <c r="I11" s="15"/>
      <c r="J11" s="15"/>
      <c r="AG11" s="65" t="s">
        <v>122</v>
      </c>
      <c r="AH11" s="15"/>
      <c r="AI11" s="16"/>
    </row>
    <row r="12" spans="1:35" x14ac:dyDescent="0.25">
      <c r="A12" s="15"/>
      <c r="B12" s="15"/>
      <c r="C12" s="15"/>
      <c r="D12" s="15"/>
      <c r="E12" s="15"/>
      <c r="F12" s="15"/>
      <c r="G12" s="15"/>
      <c r="H12" s="15"/>
      <c r="I12" s="15"/>
      <c r="J12" s="15"/>
      <c r="AG12" s="65" t="s">
        <v>123</v>
      </c>
      <c r="AH12" s="15"/>
      <c r="AI12" s="16"/>
    </row>
    <row r="13" spans="1:35" ht="18.75" x14ac:dyDescent="0.3">
      <c r="A13" s="15"/>
      <c r="B13" s="182" t="s">
        <v>94</v>
      </c>
      <c r="C13" s="15"/>
      <c r="D13" s="15"/>
      <c r="E13" s="1051"/>
      <c r="F13" s="1052"/>
      <c r="G13" s="1052"/>
      <c r="H13" s="1052"/>
      <c r="I13" s="1052"/>
      <c r="J13" s="1053"/>
      <c r="AG13" s="65" t="s">
        <v>1273</v>
      </c>
      <c r="AH13" s="15"/>
      <c r="AI13" s="16"/>
    </row>
    <row r="14" spans="1:35" s="127" customFormat="1" x14ac:dyDescent="0.25">
      <c r="A14" s="707"/>
      <c r="B14" s="128"/>
      <c r="C14" s="128"/>
      <c r="D14" s="128"/>
      <c r="E14" s="128"/>
      <c r="F14" s="128"/>
      <c r="G14" s="128"/>
      <c r="H14" s="128"/>
      <c r="I14" s="128"/>
      <c r="J14" s="128"/>
      <c r="AG14" s="65" t="s">
        <v>124</v>
      </c>
      <c r="AH14" s="15"/>
      <c r="AI14" s="16"/>
    </row>
    <row r="15" spans="1:35" ht="18.75" customHeight="1" x14ac:dyDescent="0.3">
      <c r="A15" s="15"/>
      <c r="B15" s="182" t="s">
        <v>95</v>
      </c>
      <c r="C15" s="15"/>
      <c r="D15" s="15"/>
      <c r="E15" s="1051"/>
      <c r="F15" s="1052"/>
      <c r="G15" s="1052"/>
      <c r="H15" s="1052"/>
      <c r="I15" s="1052"/>
      <c r="J15" s="1053"/>
      <c r="AG15" s="65" t="s">
        <v>125</v>
      </c>
      <c r="AH15" s="15"/>
      <c r="AI15" s="16"/>
    </row>
    <row r="16" spans="1:35" s="127" customFormat="1" x14ac:dyDescent="0.25">
      <c r="A16" s="707"/>
      <c r="B16" s="128"/>
      <c r="C16" s="128"/>
      <c r="D16" s="128"/>
      <c r="E16" s="128"/>
      <c r="F16" s="128"/>
      <c r="G16" s="128"/>
      <c r="H16" s="128"/>
      <c r="I16" s="128"/>
      <c r="J16" s="128"/>
      <c r="AG16" s="65" t="s">
        <v>126</v>
      </c>
      <c r="AH16" s="15"/>
      <c r="AI16" s="16"/>
    </row>
    <row r="17" spans="1:47" ht="18.75" x14ac:dyDescent="0.3">
      <c r="A17" s="182"/>
      <c r="B17" s="182" t="s">
        <v>670</v>
      </c>
      <c r="C17" s="15"/>
      <c r="D17" s="15"/>
      <c r="E17" s="1051"/>
      <c r="F17" s="1052"/>
      <c r="G17" s="1052"/>
      <c r="H17" s="1052"/>
      <c r="I17" s="1052"/>
      <c r="J17" s="1053"/>
      <c r="AG17" s="65" t="s">
        <v>1164</v>
      </c>
      <c r="AH17" s="15"/>
      <c r="AI17" s="16"/>
    </row>
    <row r="18" spans="1:47" s="127" customFormat="1" x14ac:dyDescent="0.2">
      <c r="A18" s="707"/>
      <c r="B18" s="707"/>
      <c r="C18" s="128"/>
      <c r="D18" s="128"/>
      <c r="E18" s="128"/>
      <c r="F18" s="128"/>
      <c r="G18" s="128"/>
      <c r="H18" s="128"/>
      <c r="I18" s="128"/>
      <c r="J18" s="128"/>
      <c r="AG18" s="65" t="s">
        <v>127</v>
      </c>
      <c r="AH18" s="128"/>
      <c r="AI18" s="129"/>
    </row>
    <row r="19" spans="1:47" ht="18.75" x14ac:dyDescent="0.3">
      <c r="A19" s="182"/>
      <c r="B19" s="182" t="s">
        <v>96</v>
      </c>
      <c r="C19" s="15"/>
      <c r="D19" s="15"/>
      <c r="E19" s="1051"/>
      <c r="F19" s="1052"/>
      <c r="G19" s="1052"/>
      <c r="H19" s="1052"/>
      <c r="I19" s="1052"/>
      <c r="J19" s="1053"/>
      <c r="AG19" s="66" t="s">
        <v>128</v>
      </c>
      <c r="AH19" s="17"/>
      <c r="AI19" s="18"/>
    </row>
    <row r="20" spans="1:47" s="127" customFormat="1" ht="11.25" x14ac:dyDescent="0.2">
      <c r="A20" s="707"/>
      <c r="B20" s="707"/>
      <c r="C20" s="128"/>
      <c r="D20" s="128"/>
      <c r="E20" s="128"/>
      <c r="F20" s="128"/>
      <c r="G20" s="128"/>
      <c r="H20" s="128"/>
      <c r="I20" s="128"/>
      <c r="J20" s="128"/>
    </row>
    <row r="21" spans="1:47" s="127" customFormat="1" ht="18.75" customHeight="1" x14ac:dyDescent="0.3">
      <c r="A21" s="707"/>
      <c r="B21" s="182" t="s">
        <v>671</v>
      </c>
      <c r="C21" s="15"/>
      <c r="D21" s="15"/>
      <c r="E21" s="1051"/>
      <c r="F21" s="1052"/>
      <c r="G21" s="1052"/>
      <c r="H21" s="1052"/>
      <c r="I21" s="1052"/>
      <c r="J21" s="1053"/>
      <c r="AG21" s="67" t="s">
        <v>129</v>
      </c>
      <c r="AH21"/>
      <c r="AI21"/>
      <c r="AJ21"/>
      <c r="AK21"/>
      <c r="AL21"/>
      <c r="AM21"/>
      <c r="AN21"/>
      <c r="AO21"/>
      <c r="AP21"/>
      <c r="AQ21"/>
      <c r="AR21"/>
      <c r="AS21"/>
      <c r="AT21"/>
      <c r="AU21"/>
    </row>
    <row r="22" spans="1:47" s="127" customFormat="1" x14ac:dyDescent="0.25">
      <c r="A22" s="707"/>
      <c r="B22" s="707"/>
      <c r="C22" s="128"/>
      <c r="D22" s="128"/>
      <c r="E22" s="128"/>
      <c r="F22" s="128"/>
      <c r="G22" s="128"/>
      <c r="H22" s="128"/>
      <c r="I22" s="128"/>
      <c r="J22" s="128"/>
      <c r="AG22" s="603" t="s">
        <v>130</v>
      </c>
      <c r="AH22" s="130"/>
      <c r="AI22" s="131"/>
      <c r="AJ22"/>
      <c r="AK22"/>
      <c r="AL22"/>
      <c r="AM22"/>
      <c r="AN22"/>
      <c r="AO22"/>
      <c r="AP22"/>
      <c r="AQ22"/>
      <c r="AR22"/>
      <c r="AS22"/>
      <c r="AT22"/>
      <c r="AU22"/>
    </row>
    <row r="23" spans="1:47" ht="18.75" x14ac:dyDescent="0.3">
      <c r="A23" s="182"/>
      <c r="B23" s="708" t="s">
        <v>97</v>
      </c>
      <c r="C23" s="15"/>
      <c r="D23" s="15"/>
      <c r="E23" s="38"/>
      <c r="F23" s="38"/>
      <c r="G23" s="38"/>
      <c r="H23" s="709" t="s">
        <v>99</v>
      </c>
      <c r="I23" s="710"/>
      <c r="J23" s="38"/>
      <c r="AG23" s="68" t="s">
        <v>131</v>
      </c>
      <c r="AH23" s="15"/>
      <c r="AI23" s="16"/>
      <c r="AJ23" s="127"/>
      <c r="AK23" s="127"/>
      <c r="AL23" s="127"/>
      <c r="AM23" s="127"/>
      <c r="AN23" s="127"/>
      <c r="AO23" s="127"/>
      <c r="AP23" s="127"/>
      <c r="AQ23" s="127"/>
      <c r="AR23" s="127"/>
      <c r="AS23" s="127"/>
      <c r="AT23" s="127"/>
      <c r="AU23" s="127"/>
    </row>
    <row r="24" spans="1:47" ht="18.75" x14ac:dyDescent="0.3">
      <c r="A24" s="182"/>
      <c r="B24" s="182" t="s">
        <v>98</v>
      </c>
      <c r="C24" s="15"/>
      <c r="D24" s="15"/>
      <c r="E24" s="1054"/>
      <c r="F24" s="1055"/>
      <c r="G24" s="711" t="s">
        <v>554</v>
      </c>
      <c r="H24" s="182" t="s">
        <v>102</v>
      </c>
      <c r="I24" s="15"/>
      <c r="J24" s="569"/>
      <c r="K24" t="s">
        <v>1167</v>
      </c>
      <c r="AG24" s="68" t="s">
        <v>132</v>
      </c>
      <c r="AH24" s="128"/>
      <c r="AI24" s="129"/>
    </row>
    <row r="25" spans="1:47" s="127" customFormat="1" x14ac:dyDescent="0.25">
      <c r="A25" s="707"/>
      <c r="B25" s="707"/>
      <c r="C25" s="128"/>
      <c r="D25" s="128"/>
      <c r="E25" s="128"/>
      <c r="F25" s="128"/>
      <c r="G25" s="128"/>
      <c r="H25" s="707"/>
      <c r="I25" s="128"/>
      <c r="J25" s="128"/>
      <c r="AG25" s="68" t="s">
        <v>133</v>
      </c>
      <c r="AH25" s="15"/>
      <c r="AI25" s="16"/>
    </row>
    <row r="26" spans="1:47" ht="18.75" x14ac:dyDescent="0.3">
      <c r="A26" s="182"/>
      <c r="B26" s="182" t="s">
        <v>100</v>
      </c>
      <c r="C26" s="15"/>
      <c r="D26" s="15"/>
      <c r="E26" s="1056"/>
      <c r="F26" s="1057"/>
      <c r="G26" s="15"/>
      <c r="H26" s="182" t="s">
        <v>101</v>
      </c>
      <c r="I26" s="15"/>
      <c r="J26" s="569"/>
      <c r="AG26" s="68" t="s">
        <v>134</v>
      </c>
      <c r="AH26" s="15"/>
      <c r="AI26" s="16"/>
    </row>
    <row r="27" spans="1:47" s="127" customFormat="1" x14ac:dyDescent="0.25">
      <c r="A27" s="707"/>
      <c r="B27" s="707"/>
      <c r="C27" s="128"/>
      <c r="D27" s="128"/>
      <c r="E27" s="128"/>
      <c r="F27" s="128"/>
      <c r="G27" s="128"/>
      <c r="H27" s="128"/>
      <c r="I27" s="128"/>
      <c r="J27" s="128"/>
      <c r="AG27" s="604" t="s">
        <v>135</v>
      </c>
      <c r="AH27" s="132"/>
      <c r="AI27" s="133"/>
      <c r="AJ27"/>
      <c r="AK27"/>
      <c r="AL27"/>
      <c r="AM27"/>
      <c r="AN27"/>
      <c r="AO27"/>
      <c r="AP27"/>
      <c r="AQ27"/>
      <c r="AR27"/>
      <c r="AS27"/>
      <c r="AT27"/>
      <c r="AU27"/>
    </row>
    <row r="28" spans="1:47" ht="18.75" x14ac:dyDescent="0.3">
      <c r="A28" s="182"/>
      <c r="B28" s="708" t="s">
        <v>103</v>
      </c>
      <c r="C28" s="15"/>
      <c r="D28" s="15"/>
      <c r="E28" s="15"/>
      <c r="F28" s="15"/>
      <c r="G28" s="15"/>
      <c r="H28" s="15"/>
      <c r="I28" s="15"/>
      <c r="J28" s="15"/>
      <c r="AJ28" s="127"/>
      <c r="AK28" s="127"/>
      <c r="AL28" s="127"/>
      <c r="AM28" s="127"/>
      <c r="AN28" s="127"/>
      <c r="AO28" s="127"/>
      <c r="AP28" s="127"/>
      <c r="AQ28" s="127"/>
      <c r="AR28" s="127"/>
      <c r="AS28" s="127"/>
      <c r="AT28" s="127"/>
      <c r="AU28" s="127"/>
    </row>
    <row r="29" spans="1:47" ht="18.75" x14ac:dyDescent="0.3">
      <c r="A29" s="182"/>
      <c r="B29" s="182" t="s">
        <v>104</v>
      </c>
      <c r="C29" s="15"/>
      <c r="D29" s="15"/>
      <c r="E29" s="1058"/>
      <c r="F29" s="1059"/>
      <c r="G29" s="1059"/>
      <c r="H29" s="1060"/>
      <c r="I29" s="15"/>
      <c r="J29" s="231" t="s">
        <v>414</v>
      </c>
      <c r="AG29" s="134" t="s">
        <v>136</v>
      </c>
      <c r="AH29" s="127"/>
      <c r="AI29" s="127"/>
    </row>
    <row r="30" spans="1:47" s="127" customFormat="1" x14ac:dyDescent="0.25">
      <c r="A30" s="707"/>
      <c r="B30" s="707"/>
      <c r="C30" s="128"/>
      <c r="D30" s="128"/>
      <c r="E30" s="128"/>
      <c r="F30" s="128"/>
      <c r="G30" s="128"/>
      <c r="H30" s="128"/>
      <c r="I30" s="128"/>
      <c r="J30" s="1061"/>
      <c r="AG30" s="69" t="s">
        <v>211</v>
      </c>
      <c r="AH30"/>
      <c r="AI30"/>
      <c r="AJ30"/>
      <c r="AK30"/>
      <c r="AL30"/>
      <c r="AM30"/>
      <c r="AN30"/>
      <c r="AO30"/>
      <c r="AP30"/>
      <c r="AQ30"/>
      <c r="AR30"/>
      <c r="AS30"/>
      <c r="AT30"/>
      <c r="AU30"/>
    </row>
    <row r="31" spans="1:47" ht="18.75" x14ac:dyDescent="0.3">
      <c r="A31" s="182"/>
      <c r="B31" s="182" t="s">
        <v>105</v>
      </c>
      <c r="C31" s="15"/>
      <c r="D31" s="15"/>
      <c r="E31" s="1064"/>
      <c r="F31" s="1065"/>
      <c r="G31" s="1065"/>
      <c r="H31" s="1066"/>
      <c r="I31" s="15"/>
      <c r="J31" s="1062"/>
      <c r="AG31" s="70" t="s">
        <v>89</v>
      </c>
    </row>
    <row r="32" spans="1:47" ht="18.75" x14ac:dyDescent="0.3">
      <c r="A32" s="15"/>
      <c r="B32" s="182"/>
      <c r="C32" s="15"/>
      <c r="D32" s="15"/>
      <c r="E32" s="1064"/>
      <c r="F32" s="1065"/>
      <c r="G32" s="1065"/>
      <c r="H32" s="1066"/>
      <c r="I32" s="15"/>
      <c r="J32" s="1062"/>
      <c r="AG32" s="127"/>
      <c r="AH32" s="127"/>
      <c r="AI32" s="127"/>
      <c r="AR32" s="127"/>
      <c r="AS32" s="127"/>
      <c r="AT32" s="127"/>
      <c r="AU32" s="127"/>
    </row>
    <row r="33" spans="1:47" ht="18.75" x14ac:dyDescent="0.3">
      <c r="A33" s="15"/>
      <c r="B33" s="182"/>
      <c r="C33" s="15"/>
      <c r="D33" s="15"/>
      <c r="E33" s="1064"/>
      <c r="F33" s="1065"/>
      <c r="G33" s="1065"/>
      <c r="H33" s="1066"/>
      <c r="I33" s="15"/>
      <c r="J33" s="1063"/>
      <c r="AG33" s="5" t="s">
        <v>203</v>
      </c>
      <c r="AJ33" s="127"/>
      <c r="AK33" s="127"/>
      <c r="AL33" s="127"/>
      <c r="AM33" s="127"/>
      <c r="AN33" s="127"/>
      <c r="AO33" s="127"/>
      <c r="AP33" s="127"/>
      <c r="AQ33" s="127"/>
    </row>
    <row r="34" spans="1:47" s="127" customFormat="1" x14ac:dyDescent="0.25">
      <c r="A34" s="128"/>
      <c r="B34" s="707"/>
      <c r="C34" s="128"/>
      <c r="D34" s="128"/>
      <c r="E34" s="128"/>
      <c r="F34" s="128"/>
      <c r="G34" s="128"/>
      <c r="H34" s="128"/>
      <c r="I34" s="128"/>
      <c r="J34" s="128"/>
      <c r="AG34" s="80" t="s">
        <v>212</v>
      </c>
      <c r="AH34" s="11"/>
      <c r="AI34" s="12"/>
      <c r="AJ34"/>
      <c r="AK34"/>
      <c r="AL34"/>
      <c r="AM34"/>
      <c r="AN34"/>
      <c r="AO34"/>
      <c r="AP34"/>
      <c r="AQ34"/>
    </row>
    <row r="35" spans="1:47" ht="18.75" x14ac:dyDescent="0.3">
      <c r="A35" s="15"/>
      <c r="B35" s="182" t="s">
        <v>106</v>
      </c>
      <c r="C35" s="15"/>
      <c r="D35" s="15"/>
      <c r="E35" s="1051"/>
      <c r="F35" s="1053"/>
      <c r="G35" s="15"/>
      <c r="H35" s="15"/>
      <c r="I35" s="712" t="s">
        <v>108</v>
      </c>
      <c r="J35" s="570"/>
      <c r="AG35" s="13" t="s">
        <v>204</v>
      </c>
      <c r="AH35" s="15"/>
      <c r="AI35" s="16"/>
      <c r="AJ35" s="59"/>
      <c r="AK35" s="59"/>
      <c r="AL35" s="59"/>
      <c r="AM35" s="127"/>
      <c r="AN35" s="127"/>
      <c r="AO35" s="127"/>
      <c r="AP35" s="127"/>
      <c r="AQ35" s="127"/>
    </row>
    <row r="36" spans="1:47" s="127" customFormat="1" x14ac:dyDescent="0.25">
      <c r="A36" s="128"/>
      <c r="B36" s="707"/>
      <c r="C36" s="128"/>
      <c r="D36" s="128"/>
      <c r="E36" s="128"/>
      <c r="F36" s="128"/>
      <c r="G36" s="128"/>
      <c r="H36" s="128"/>
      <c r="I36" s="128"/>
      <c r="J36" s="128"/>
      <c r="AG36" s="46" t="s">
        <v>550</v>
      </c>
      <c r="AH36" s="17"/>
      <c r="AI36" s="18"/>
      <c r="AJ36" s="59"/>
      <c r="AK36" s="59"/>
      <c r="AL36" s="59"/>
      <c r="AM36"/>
      <c r="AN36"/>
      <c r="AO36"/>
      <c r="AP36"/>
      <c r="AQ36"/>
    </row>
    <row r="37" spans="1:47" ht="18.75" x14ac:dyDescent="0.3">
      <c r="A37" s="15"/>
      <c r="B37" s="182" t="s">
        <v>107</v>
      </c>
      <c r="C37" s="15"/>
      <c r="D37" s="15"/>
      <c r="E37" s="1058"/>
      <c r="F37" s="1059"/>
      <c r="G37" s="1059"/>
      <c r="H37" s="1060"/>
      <c r="I37" s="15"/>
      <c r="J37" s="15"/>
      <c r="AG37" s="127"/>
      <c r="AH37" s="127"/>
      <c r="AI37" s="127"/>
      <c r="AJ37" s="59"/>
      <c r="AK37" s="59"/>
      <c r="AL37" s="59"/>
      <c r="AM37" s="127"/>
      <c r="AN37" s="127"/>
      <c r="AO37" s="127"/>
      <c r="AP37" s="127"/>
      <c r="AQ37" s="127"/>
      <c r="AR37" s="127"/>
      <c r="AS37" s="127"/>
      <c r="AT37" s="127"/>
      <c r="AU37" s="127"/>
    </row>
    <row r="38" spans="1:47" s="127" customFormat="1" ht="15.75" x14ac:dyDescent="0.25">
      <c r="A38" s="128"/>
      <c r="B38" s="707"/>
      <c r="C38" s="128"/>
      <c r="D38" s="128"/>
      <c r="E38" s="128"/>
      <c r="F38" s="128"/>
      <c r="G38" s="128"/>
      <c r="H38" s="128"/>
      <c r="I38" s="128"/>
      <c r="J38" s="128"/>
      <c r="AG38" s="81" t="s">
        <v>209</v>
      </c>
      <c r="AH38"/>
      <c r="AI38"/>
      <c r="AJ38" s="59"/>
      <c r="AK38" s="59"/>
      <c r="AL38" s="59"/>
      <c r="AR38"/>
      <c r="AS38"/>
      <c r="AT38"/>
      <c r="AU38"/>
    </row>
    <row r="39" spans="1:47" s="127" customFormat="1" x14ac:dyDescent="0.25">
      <c r="A39" s="128"/>
      <c r="B39" s="128"/>
      <c r="C39" s="128"/>
      <c r="D39" s="128"/>
      <c r="E39" s="128"/>
      <c r="F39" s="128"/>
      <c r="G39" s="128"/>
      <c r="H39" s="128"/>
      <c r="I39" s="128"/>
      <c r="J39" s="128"/>
      <c r="AG39" s="83" t="s">
        <v>184</v>
      </c>
      <c r="AH39" s="59" t="s">
        <v>185</v>
      </c>
      <c r="AI39" s="59"/>
      <c r="AJ39"/>
      <c r="AK39"/>
      <c r="AL39"/>
      <c r="AM39"/>
      <c r="AN39"/>
      <c r="AO39"/>
      <c r="AP39"/>
      <c r="AQ39"/>
      <c r="AR39"/>
      <c r="AS39"/>
      <c r="AT39"/>
      <c r="AU39"/>
    </row>
    <row r="40" spans="1:47" ht="23.25" x14ac:dyDescent="0.35">
      <c r="A40" s="716" t="s">
        <v>109</v>
      </c>
      <c r="B40" s="15"/>
      <c r="C40" s="15"/>
      <c r="D40" s="15"/>
      <c r="E40" s="15"/>
      <c r="F40" s="15"/>
      <c r="G40" s="15"/>
      <c r="H40" s="15"/>
      <c r="I40" s="15"/>
      <c r="J40" s="15"/>
      <c r="AG40" s="83" t="s">
        <v>186</v>
      </c>
      <c r="AH40" s="605" t="s">
        <v>187</v>
      </c>
      <c r="AI40" s="59"/>
    </row>
    <row r="41" spans="1:47" ht="15" customHeight="1" x14ac:dyDescent="0.25">
      <c r="A41" s="15"/>
      <c r="B41" s="1010" t="s">
        <v>540</v>
      </c>
      <c r="C41" s="1010"/>
      <c r="D41" s="1010"/>
      <c r="E41" s="1010"/>
      <c r="F41" s="1010"/>
      <c r="G41" s="1010"/>
      <c r="H41" s="1010"/>
      <c r="I41" s="1010"/>
      <c r="J41" s="1010"/>
      <c r="AG41" s="83" t="s">
        <v>188</v>
      </c>
      <c r="AH41" s="605" t="s">
        <v>189</v>
      </c>
      <c r="AI41" s="59"/>
    </row>
    <row r="42" spans="1:47" ht="15.75" x14ac:dyDescent="0.25">
      <c r="A42" s="15"/>
      <c r="B42" s="1010"/>
      <c r="C42" s="1010"/>
      <c r="D42" s="1010"/>
      <c r="E42" s="1010"/>
      <c r="F42" s="1010"/>
      <c r="G42" s="1010"/>
      <c r="H42" s="1010"/>
      <c r="I42" s="1010"/>
      <c r="J42" s="1010"/>
      <c r="AG42" s="83" t="s">
        <v>190</v>
      </c>
      <c r="AH42" s="605" t="s">
        <v>191</v>
      </c>
      <c r="AI42" s="59"/>
      <c r="AJ42" s="786"/>
      <c r="AK42" s="787"/>
      <c r="AM42" s="1047" t="s">
        <v>312</v>
      </c>
      <c r="AN42" s="1047"/>
    </row>
    <row r="43" spans="1:47" ht="15.75" x14ac:dyDescent="0.25">
      <c r="A43" s="15"/>
      <c r="B43" s="1010"/>
      <c r="C43" s="1010"/>
      <c r="D43" s="1010"/>
      <c r="E43" s="1010"/>
      <c r="F43" s="1010"/>
      <c r="G43" s="1010"/>
      <c r="H43" s="1010"/>
      <c r="I43" s="1010"/>
      <c r="J43" s="1010"/>
      <c r="AG43" s="84" t="s">
        <v>210</v>
      </c>
      <c r="AJ43" s="784"/>
      <c r="AK43" s="448">
        <v>0.3</v>
      </c>
      <c r="AM43" s="41" t="s">
        <v>302</v>
      </c>
      <c r="AN43" s="122">
        <v>0.3</v>
      </c>
    </row>
    <row r="44" spans="1:47" ht="15.75" x14ac:dyDescent="0.25">
      <c r="A44" s="15"/>
      <c r="B44" s="713" t="s">
        <v>541</v>
      </c>
      <c r="C44" s="15"/>
      <c r="D44" s="15"/>
      <c r="E44" s="15"/>
      <c r="F44" s="15"/>
      <c r="G44" s="15"/>
      <c r="H44" s="15"/>
      <c r="I44" s="15"/>
      <c r="J44" s="15"/>
      <c r="AG44" s="82" t="str">
        <f>IF(E59="Yes",AG41,IF(E56="Yes",AG42,IF(E53=AG35,AG40,AG39)))</f>
        <v>A1020</v>
      </c>
      <c r="AH44" t="str">
        <f>VLOOKUP(AG44,AG39:AH42,2)</f>
        <v>Monitoring (Extractive Industries)</v>
      </c>
      <c r="AJ44" s="784"/>
      <c r="AK44" s="448">
        <v>0.25</v>
      </c>
      <c r="AM44" s="71" t="s">
        <v>480</v>
      </c>
      <c r="AN44" s="123">
        <v>0.2</v>
      </c>
    </row>
    <row r="45" spans="1:47" ht="18.75" x14ac:dyDescent="0.3">
      <c r="A45" s="15"/>
      <c r="B45" s="182" t="s">
        <v>110</v>
      </c>
      <c r="C45" s="15"/>
      <c r="D45" s="15"/>
      <c r="E45" s="15"/>
      <c r="F45" s="15"/>
      <c r="G45" s="15"/>
      <c r="H45" s="15"/>
      <c r="I45" s="15"/>
      <c r="J45" s="15"/>
      <c r="AJ45" s="784"/>
      <c r="AK45" s="448">
        <v>0.2</v>
      </c>
      <c r="AM45" s="71" t="s">
        <v>305</v>
      </c>
      <c r="AN45" s="123">
        <v>0.1</v>
      </c>
      <c r="AR45" s="127"/>
      <c r="AS45" s="127"/>
      <c r="AT45" s="127"/>
      <c r="AU45" s="127"/>
    </row>
    <row r="46" spans="1:47" ht="18.75" x14ac:dyDescent="0.3">
      <c r="A46" s="15"/>
      <c r="B46" s="182" t="s">
        <v>111</v>
      </c>
      <c r="C46" s="15"/>
      <c r="D46" s="15"/>
      <c r="E46" s="1067"/>
      <c r="F46" s="1068"/>
      <c r="G46" s="1069"/>
      <c r="H46" s="714"/>
      <c r="I46" s="15"/>
      <c r="J46" s="15"/>
      <c r="AG46" s="785" t="s">
        <v>301</v>
      </c>
      <c r="AH46" s="786"/>
      <c r="AI46" s="786"/>
      <c r="AJ46" s="782"/>
      <c r="AK46" s="450">
        <v>0.15</v>
      </c>
      <c r="AL46" s="127"/>
      <c r="AM46" s="71" t="s">
        <v>304</v>
      </c>
      <c r="AN46" s="123">
        <v>0.15</v>
      </c>
      <c r="AO46" s="127"/>
      <c r="AP46" s="127"/>
      <c r="AQ46" s="127"/>
    </row>
    <row r="47" spans="1:47" s="127" customFormat="1" x14ac:dyDescent="0.25">
      <c r="A47" s="128"/>
      <c r="B47" s="128"/>
      <c r="C47" s="128"/>
      <c r="D47" s="128"/>
      <c r="E47" s="128"/>
      <c r="F47" s="128"/>
      <c r="G47" s="128"/>
      <c r="H47" s="128"/>
      <c r="I47" s="128"/>
      <c r="J47" s="128"/>
      <c r="AG47" s="783" t="s">
        <v>302</v>
      </c>
      <c r="AH47" s="784"/>
      <c r="AI47" s="784"/>
      <c r="AJ47" s="780"/>
      <c r="AK47" s="449">
        <v>0.1</v>
      </c>
      <c r="AL47"/>
      <c r="AM47" s="52" t="s">
        <v>303</v>
      </c>
      <c r="AN47" s="124">
        <v>0.25</v>
      </c>
      <c r="AO47"/>
      <c r="AP47"/>
      <c r="AQ47"/>
      <c r="AR47"/>
      <c r="AS47"/>
      <c r="AT47"/>
      <c r="AU47"/>
    </row>
    <row r="48" spans="1:47" ht="18.75" x14ac:dyDescent="0.3">
      <c r="A48" s="15"/>
      <c r="B48" s="182" t="s">
        <v>114</v>
      </c>
      <c r="C48" s="15"/>
      <c r="D48" s="15"/>
      <c r="E48" s="15"/>
      <c r="F48" s="15"/>
      <c r="G48" s="15"/>
      <c r="H48" s="15"/>
      <c r="I48" s="15"/>
      <c r="J48" s="15"/>
      <c r="AG48" s="783" t="s">
        <v>303</v>
      </c>
      <c r="AH48" s="784"/>
      <c r="AI48" s="784"/>
      <c r="AR48" s="127"/>
      <c r="AS48" s="127"/>
      <c r="AT48" s="127"/>
      <c r="AU48" s="127"/>
    </row>
    <row r="49" spans="1:47" ht="18.75" x14ac:dyDescent="0.3">
      <c r="A49" s="15"/>
      <c r="B49" s="182" t="s">
        <v>113</v>
      </c>
      <c r="C49" s="15"/>
      <c r="D49" s="15"/>
      <c r="E49" s="1041"/>
      <c r="F49" s="1042"/>
      <c r="G49" s="1043"/>
      <c r="H49" s="15" t="s">
        <v>54</v>
      </c>
      <c r="I49" s="15"/>
      <c r="J49" s="15"/>
      <c r="AG49" s="783" t="s">
        <v>480</v>
      </c>
      <c r="AH49" s="784"/>
      <c r="AI49" s="784"/>
      <c r="AJ49" s="127"/>
      <c r="AK49" s="127"/>
      <c r="AL49" s="127"/>
      <c r="AM49" s="127" t="b">
        <f>ISBLANK(E71)</f>
        <v>1</v>
      </c>
      <c r="AN49" s="135" t="s">
        <v>308</v>
      </c>
      <c r="AO49" s="127"/>
      <c r="AP49" s="127"/>
      <c r="AQ49" s="127"/>
    </row>
    <row r="50" spans="1:47" s="127" customFormat="1" x14ac:dyDescent="0.25">
      <c r="A50" s="128"/>
      <c r="B50" s="128"/>
      <c r="C50" s="128"/>
      <c r="D50" s="128"/>
      <c r="E50" s="128"/>
      <c r="F50" s="128"/>
      <c r="G50" s="128"/>
      <c r="H50" s="128"/>
      <c r="I50" s="128"/>
      <c r="J50" s="128"/>
      <c r="AG50" s="781" t="s">
        <v>304</v>
      </c>
      <c r="AH50" s="782"/>
      <c r="AI50" s="782"/>
      <c r="AJ50"/>
      <c r="AK50"/>
      <c r="AL50"/>
      <c r="AM50" s="116" t="e">
        <f>VLOOKUP(E71,AM43:AN47,2)</f>
        <v>#N/A</v>
      </c>
      <c r="AN50" s="125">
        <f>IF(AM49=TRUE,0,AM50)</f>
        <v>0</v>
      </c>
      <c r="AO50"/>
      <c r="AP50"/>
      <c r="AQ50"/>
    </row>
    <row r="51" spans="1:47" ht="18.75" x14ac:dyDescent="0.3">
      <c r="A51" s="15"/>
      <c r="B51" s="182" t="s">
        <v>112</v>
      </c>
      <c r="C51" s="15"/>
      <c r="D51" s="15"/>
      <c r="E51" s="1038"/>
      <c r="F51" s="1039"/>
      <c r="G51" s="1040"/>
      <c r="H51" s="15"/>
      <c r="I51" s="15"/>
      <c r="J51" s="15"/>
      <c r="AG51" s="779" t="s">
        <v>305</v>
      </c>
      <c r="AH51" s="780"/>
      <c r="AI51" s="780"/>
      <c r="AJ51" s="127"/>
      <c r="AK51" s="127"/>
      <c r="AL51" s="127"/>
      <c r="AM51" s="127"/>
      <c r="AN51" s="127"/>
      <c r="AO51" s="127"/>
      <c r="AP51" s="127"/>
      <c r="AQ51" s="127"/>
    </row>
    <row r="52" spans="1:47" s="127" customFormat="1" x14ac:dyDescent="0.25">
      <c r="A52" s="128"/>
      <c r="B52" s="128"/>
      <c r="C52" s="128"/>
      <c r="D52" s="128"/>
      <c r="E52" s="128"/>
      <c r="F52" s="128"/>
      <c r="G52" s="128"/>
      <c r="H52" s="128"/>
      <c r="I52" s="128"/>
      <c r="J52" s="128"/>
      <c r="AG52"/>
      <c r="AH52"/>
      <c r="AI52"/>
      <c r="AJ52"/>
      <c r="AK52"/>
      <c r="AL52"/>
      <c r="AM52"/>
      <c r="AN52"/>
      <c r="AO52"/>
      <c r="AP52"/>
      <c r="AQ52"/>
    </row>
    <row r="53" spans="1:47" ht="18.75" x14ac:dyDescent="0.3">
      <c r="A53" s="15"/>
      <c r="B53" s="15"/>
      <c r="C53" s="15"/>
      <c r="D53" s="712" t="s">
        <v>202</v>
      </c>
      <c r="E53" s="1041"/>
      <c r="F53" s="1042"/>
      <c r="G53" s="1043"/>
      <c r="H53" s="15"/>
      <c r="I53" s="15"/>
      <c r="J53" s="15"/>
      <c r="AG53" s="127"/>
      <c r="AH53" s="127"/>
      <c r="AI53" s="127"/>
      <c r="AJ53" s="127"/>
      <c r="AK53" s="127"/>
      <c r="AL53" s="127"/>
      <c r="AM53" s="127"/>
      <c r="AN53" s="127"/>
      <c r="AO53" s="127"/>
      <c r="AP53" s="127"/>
      <c r="AQ53" s="127"/>
    </row>
    <row r="54" spans="1:47" s="127" customFormat="1" x14ac:dyDescent="0.25">
      <c r="A54" s="128"/>
      <c r="B54" s="128"/>
      <c r="C54" s="128"/>
      <c r="D54" s="128"/>
      <c r="E54" s="128"/>
      <c r="F54" s="128"/>
      <c r="G54" s="128"/>
      <c r="H54" s="128"/>
      <c r="I54" s="128"/>
      <c r="J54" s="128"/>
      <c r="AG54"/>
      <c r="AH54"/>
      <c r="AI54"/>
      <c r="AJ54"/>
      <c r="AK54"/>
      <c r="AL54"/>
      <c r="AM54"/>
      <c r="AN54"/>
      <c r="AO54"/>
      <c r="AP54"/>
      <c r="AQ54"/>
      <c r="AR54"/>
      <c r="AS54"/>
      <c r="AT54"/>
      <c r="AU54"/>
    </row>
    <row r="55" spans="1:47" ht="18.75" x14ac:dyDescent="0.3">
      <c r="A55" s="15"/>
      <c r="B55" s="182" t="s">
        <v>115</v>
      </c>
      <c r="C55" s="15"/>
      <c r="D55" s="15"/>
      <c r="E55" s="15"/>
      <c r="F55" s="15"/>
      <c r="G55" s="15"/>
      <c r="H55" s="15"/>
      <c r="I55" s="15"/>
      <c r="J55" s="15"/>
      <c r="AG55" s="127"/>
      <c r="AH55" s="127"/>
      <c r="AI55" s="127"/>
      <c r="AR55" s="127"/>
      <c r="AS55" s="127"/>
      <c r="AT55" s="127"/>
      <c r="AU55" s="127"/>
    </row>
    <row r="56" spans="1:47" ht="18.75" x14ac:dyDescent="0.3">
      <c r="A56" s="15"/>
      <c r="B56" s="182" t="s">
        <v>539</v>
      </c>
      <c r="C56" s="15"/>
      <c r="D56" s="15"/>
      <c r="E56" s="1038"/>
      <c r="F56" s="1039"/>
      <c r="G56" s="1040"/>
      <c r="H56" s="15"/>
      <c r="I56" s="15"/>
      <c r="J56" s="15"/>
      <c r="AJ56" s="127"/>
      <c r="AK56" s="127"/>
      <c r="AL56" s="127"/>
      <c r="AM56" s="127"/>
      <c r="AN56" s="127"/>
      <c r="AO56" s="127"/>
      <c r="AP56" s="127"/>
      <c r="AQ56" s="127"/>
    </row>
    <row r="57" spans="1:47" s="127" customFormat="1" x14ac:dyDescent="0.25">
      <c r="A57" s="128"/>
      <c r="B57" s="128"/>
      <c r="C57" s="128"/>
      <c r="D57" s="128"/>
      <c r="E57" s="128"/>
      <c r="F57" s="128"/>
      <c r="G57" s="128"/>
      <c r="H57" s="128"/>
      <c r="I57" s="128"/>
      <c r="J57" s="128"/>
      <c r="AJ57"/>
      <c r="AK57"/>
      <c r="AL57"/>
      <c r="AM57"/>
      <c r="AN57"/>
      <c r="AO57"/>
      <c r="AP57"/>
      <c r="AQ57"/>
      <c r="AR57"/>
      <c r="AS57"/>
      <c r="AT57"/>
      <c r="AU57"/>
    </row>
    <row r="58" spans="1:47" ht="18.75" x14ac:dyDescent="0.3">
      <c r="A58" s="15"/>
      <c r="B58" s="182" t="s">
        <v>116</v>
      </c>
      <c r="C58" s="15"/>
      <c r="D58" s="15"/>
      <c r="E58" s="15"/>
      <c r="F58" s="15"/>
      <c r="G58" s="15"/>
      <c r="H58" s="15"/>
      <c r="I58" s="15"/>
      <c r="J58" s="15"/>
      <c r="AR58" s="127"/>
      <c r="AS58" s="127"/>
      <c r="AT58" s="127"/>
      <c r="AU58" s="127"/>
    </row>
    <row r="59" spans="1:47" ht="18.75" x14ac:dyDescent="0.3">
      <c r="A59" s="15"/>
      <c r="B59" s="182" t="s">
        <v>117</v>
      </c>
      <c r="C59" s="15"/>
      <c r="D59" s="15"/>
      <c r="E59" s="1044"/>
      <c r="F59" s="1045"/>
      <c r="G59" s="1046"/>
      <c r="H59" s="15"/>
      <c r="I59" s="15"/>
      <c r="J59" s="15"/>
      <c r="AJ59" s="127"/>
      <c r="AK59" s="127"/>
      <c r="AL59" s="127"/>
      <c r="AM59" s="127"/>
      <c r="AN59" s="127"/>
      <c r="AO59" s="127"/>
      <c r="AP59" s="127"/>
      <c r="AQ59" s="127"/>
      <c r="AR59" s="127"/>
      <c r="AS59" s="127"/>
      <c r="AT59" s="127"/>
      <c r="AU59" s="127"/>
    </row>
    <row r="60" spans="1:47" s="127" customFormat="1" x14ac:dyDescent="0.25">
      <c r="A60" s="128"/>
      <c r="B60" s="128"/>
      <c r="C60" s="128"/>
      <c r="D60" s="128"/>
      <c r="E60" s="128"/>
      <c r="F60" s="128"/>
      <c r="G60" s="128"/>
      <c r="H60" s="128"/>
      <c r="I60" s="128"/>
      <c r="J60" s="128"/>
      <c r="AR60"/>
      <c r="AS60"/>
      <c r="AT60"/>
      <c r="AU60"/>
    </row>
    <row r="61" spans="1:47" s="127" customFormat="1" x14ac:dyDescent="0.25">
      <c r="A61" s="128"/>
      <c r="B61" s="128"/>
      <c r="C61" s="128"/>
      <c r="D61" s="128"/>
      <c r="E61" s="128"/>
      <c r="F61" s="128"/>
      <c r="G61" s="128"/>
      <c r="H61" s="128"/>
      <c r="I61" s="128"/>
      <c r="J61" s="128"/>
      <c r="AG61"/>
      <c r="AH61"/>
      <c r="AI61"/>
      <c r="AJ61"/>
      <c r="AK61"/>
      <c r="AL61"/>
      <c r="AM61"/>
      <c r="AN61"/>
      <c r="AO61"/>
      <c r="AP61"/>
      <c r="AQ61"/>
      <c r="AR61"/>
      <c r="AS61"/>
      <c r="AT61"/>
      <c r="AU61"/>
    </row>
    <row r="62" spans="1:47" ht="23.25" x14ac:dyDescent="0.35">
      <c r="A62" s="716" t="s">
        <v>205</v>
      </c>
      <c r="B62" s="15"/>
      <c r="C62" s="15"/>
      <c r="D62" s="15"/>
      <c r="E62" s="15"/>
      <c r="F62" s="15"/>
      <c r="G62" s="15"/>
      <c r="H62" s="15"/>
      <c r="I62" s="15"/>
      <c r="J62" s="15"/>
      <c r="AR62" s="127"/>
      <c r="AS62" s="127"/>
      <c r="AT62" s="127"/>
      <c r="AU62" s="127"/>
    </row>
    <row r="63" spans="1:47" ht="15.75" x14ac:dyDescent="0.25">
      <c r="A63" s="15"/>
      <c r="B63" s="15" t="s">
        <v>206</v>
      </c>
      <c r="C63" s="15"/>
      <c r="D63" s="15"/>
      <c r="E63" s="15"/>
      <c r="F63" s="15"/>
      <c r="G63" s="15"/>
      <c r="H63" s="15"/>
      <c r="I63" s="15"/>
      <c r="J63" s="15"/>
      <c r="AG63" s="127"/>
      <c r="AH63" s="127"/>
      <c r="AI63" s="127"/>
      <c r="AJ63" s="127"/>
      <c r="AK63" s="127"/>
      <c r="AL63" s="127"/>
      <c r="AM63" s="84" t="s">
        <v>603</v>
      </c>
      <c r="AN63" s="127"/>
      <c r="AO63" s="127"/>
      <c r="AP63" s="127"/>
      <c r="AQ63" s="127"/>
    </row>
    <row r="64" spans="1:47" s="127" customFormat="1" x14ac:dyDescent="0.25">
      <c r="A64" s="128"/>
      <c r="B64" s="128"/>
      <c r="C64" s="128"/>
      <c r="D64" s="128"/>
      <c r="E64" s="128"/>
      <c r="F64" s="128"/>
      <c r="G64" s="128"/>
      <c r="H64" s="128"/>
      <c r="I64" s="128"/>
      <c r="J64" s="128"/>
      <c r="AL64"/>
      <c r="AM64" s="463" t="s">
        <v>602</v>
      </c>
      <c r="AN64" s="465">
        <v>0.05</v>
      </c>
    </row>
    <row r="65" spans="1:47" ht="18.75" x14ac:dyDescent="0.3">
      <c r="A65" s="15"/>
      <c r="B65" s="15"/>
      <c r="C65" s="15"/>
      <c r="D65" s="712" t="s">
        <v>207</v>
      </c>
      <c r="E65" s="1041"/>
      <c r="F65" s="1042"/>
      <c r="G65" s="1043"/>
      <c r="H65" s="15" t="s">
        <v>208</v>
      </c>
      <c r="I65" s="15"/>
      <c r="J65" s="15"/>
      <c r="AL65" s="127"/>
      <c r="AM65" s="463" t="s">
        <v>601</v>
      </c>
      <c r="AN65" s="465">
        <v>0.05</v>
      </c>
    </row>
    <row r="66" spans="1:47" s="127" customFormat="1" x14ac:dyDescent="0.25">
      <c r="A66" s="128"/>
      <c r="B66" s="128"/>
      <c r="C66" s="128"/>
      <c r="D66" s="128"/>
      <c r="E66" s="128"/>
      <c r="F66" s="128"/>
      <c r="G66" s="128"/>
      <c r="H66" s="128"/>
      <c r="I66" s="128"/>
      <c r="J66" s="128"/>
      <c r="AG66"/>
      <c r="AH66"/>
      <c r="AI66"/>
      <c r="AJ66"/>
      <c r="AK66"/>
      <c r="AL66"/>
      <c r="AM66" s="463" t="s">
        <v>600</v>
      </c>
      <c r="AN66" s="465">
        <v>0.05</v>
      </c>
      <c r="AO66"/>
      <c r="AP66"/>
      <c r="AQ66"/>
      <c r="AR66"/>
      <c r="AS66"/>
      <c r="AT66"/>
      <c r="AU66"/>
    </row>
    <row r="67" spans="1:47" ht="23.25" x14ac:dyDescent="0.35">
      <c r="A67" s="716" t="s">
        <v>301</v>
      </c>
      <c r="B67" s="15"/>
      <c r="C67" s="15"/>
      <c r="D67" s="15"/>
      <c r="E67" s="15"/>
      <c r="F67" s="15"/>
      <c r="G67" s="15"/>
      <c r="H67" s="15"/>
      <c r="I67" s="15"/>
      <c r="J67" s="15"/>
      <c r="AH67" s="127"/>
      <c r="AI67" s="127"/>
      <c r="AM67" s="463" t="s">
        <v>599</v>
      </c>
      <c r="AN67" s="465">
        <v>0.1</v>
      </c>
    </row>
    <row r="68" spans="1:47" x14ac:dyDescent="0.25">
      <c r="A68" s="15"/>
      <c r="B68" s="1010" t="s">
        <v>306</v>
      </c>
      <c r="C68" s="1010"/>
      <c r="D68" s="1010"/>
      <c r="E68" s="1010"/>
      <c r="F68" s="1010"/>
      <c r="G68" s="1010"/>
      <c r="H68" s="1010"/>
      <c r="I68" s="1010"/>
      <c r="J68" s="1010"/>
      <c r="AG68" s="127"/>
      <c r="AH68" s="127"/>
      <c r="AI68" s="127"/>
      <c r="AM68" s="463" t="s">
        <v>598</v>
      </c>
      <c r="AN68" s="465">
        <v>0.2</v>
      </c>
    </row>
    <row r="69" spans="1:47" x14ac:dyDescent="0.25">
      <c r="A69" s="15"/>
      <c r="B69" s="1010"/>
      <c r="C69" s="1010"/>
      <c r="D69" s="1010"/>
      <c r="E69" s="1010"/>
      <c r="F69" s="1010"/>
      <c r="G69" s="1010"/>
      <c r="H69" s="1010"/>
      <c r="I69" s="1010"/>
      <c r="J69" s="1010"/>
      <c r="AM69" s="463" t="s">
        <v>597</v>
      </c>
      <c r="AN69" s="465">
        <v>0.1</v>
      </c>
    </row>
    <row r="70" spans="1:47" x14ac:dyDescent="0.25">
      <c r="A70" s="15"/>
      <c r="B70" s="15"/>
      <c r="C70" s="15"/>
      <c r="D70" s="15"/>
      <c r="E70" s="15"/>
      <c r="F70" s="15"/>
      <c r="G70" s="15"/>
      <c r="H70" s="15"/>
      <c r="I70" s="15"/>
      <c r="J70" s="15"/>
      <c r="AM70" s="463" t="s">
        <v>596</v>
      </c>
      <c r="AN70" s="465">
        <v>0.2</v>
      </c>
    </row>
    <row r="71" spans="1:47" ht="18.75" x14ac:dyDescent="0.3">
      <c r="A71" s="15"/>
      <c r="B71" s="15"/>
      <c r="C71" s="15"/>
      <c r="D71" s="712" t="s">
        <v>307</v>
      </c>
      <c r="E71" s="1044"/>
      <c r="F71" s="1045"/>
      <c r="G71" s="1045"/>
      <c r="H71" s="1045"/>
      <c r="I71" s="1046"/>
      <c r="J71" s="15"/>
    </row>
    <row r="72" spans="1:47" x14ac:dyDescent="0.25">
      <c r="A72" s="15"/>
      <c r="B72" s="15"/>
      <c r="C72" s="15"/>
      <c r="D72" s="15"/>
      <c r="E72" s="15"/>
      <c r="F72" s="15"/>
      <c r="G72" s="15"/>
      <c r="H72" s="15"/>
      <c r="I72" s="15"/>
      <c r="J72" s="15"/>
    </row>
  </sheetData>
  <sheetProtection algorithmName="SHA-512" hashValue="2alAM2ZxupozCDtlNUy3wYpOssSuJi0tSD6+7Oq05wSDC2EO7mMdlTNXHHZEYwqt0SPAXZgM5ak+nYw/30gdhw==" saltValue="LVQJMk6BrjBo7Q93wQNKKQ==" spinCount="100000" sheet="1" formatCells="0" selectLockedCells="1"/>
  <dataConsolidate/>
  <mergeCells count="29">
    <mergeCell ref="E46:G46"/>
    <mergeCell ref="E33:H33"/>
    <mergeCell ref="E35:F35"/>
    <mergeCell ref="E37:H37"/>
    <mergeCell ref="B41:J43"/>
    <mergeCell ref="AM42:AN42"/>
    <mergeCell ref="A6:B6"/>
    <mergeCell ref="A7:B7"/>
    <mergeCell ref="C7:D7"/>
    <mergeCell ref="C6:D6"/>
    <mergeCell ref="E13:J13"/>
    <mergeCell ref="E15:J15"/>
    <mergeCell ref="E24:F24"/>
    <mergeCell ref="E26:F26"/>
    <mergeCell ref="E29:H29"/>
    <mergeCell ref="E17:J17"/>
    <mergeCell ref="E19:J19"/>
    <mergeCell ref="J30:J33"/>
    <mergeCell ref="E32:H32"/>
    <mergeCell ref="E21:J21"/>
    <mergeCell ref="E31:H31"/>
    <mergeCell ref="B68:J69"/>
    <mergeCell ref="E51:G51"/>
    <mergeCell ref="E49:G49"/>
    <mergeCell ref="E71:I71"/>
    <mergeCell ref="E65:G65"/>
    <mergeCell ref="E53:G53"/>
    <mergeCell ref="E56:G56"/>
    <mergeCell ref="E59:G59"/>
  </mergeCells>
  <dataValidations count="5">
    <dataValidation type="list" allowBlank="1" showInputMessage="1" showErrorMessage="1" sqref="E56:G56 E59" xr:uid="{00000000-0002-0000-0200-000000000000}">
      <formula1>$AG$30:$AG$31</formula1>
    </dataValidation>
    <dataValidation type="list" allowBlank="1" showInputMessage="1" showErrorMessage="1" sqref="E53:G53" xr:uid="{00000000-0002-0000-0200-000001000000}">
      <formula1>$AG$34:$AG$36</formula1>
    </dataValidation>
    <dataValidation type="list" allowBlank="1" showInputMessage="1" showErrorMessage="1" sqref="E71:I71" xr:uid="{00000000-0002-0000-0200-000002000000}">
      <formula1>$AG$47:$AG$52</formula1>
    </dataValidation>
    <dataValidation type="list" allowBlank="1" showInputMessage="1" showErrorMessage="1" sqref="E51:G51" xr:uid="{00000000-0002-0000-0200-000003000000}">
      <formula1>$AG$22:$AG$27</formula1>
    </dataValidation>
    <dataValidation type="list" allowBlank="1" showInputMessage="1" showErrorMessage="1" sqref="E46:G46" xr:uid="{00000000-0002-0000-0200-000004000000}">
      <formula1>$AG$7:$AG$19</formula1>
    </dataValidation>
  </dataValidations>
  <pageMargins left="0.70866141732283472" right="0.70866141732283472" top="0.74803149606299213" bottom="0.74803149606299213" header="0.31496062992125984" footer="0.31496062992125984"/>
  <pageSetup paperSize="9" scale="65" orientation="portrait" r:id="rId1"/>
  <headerFooter>
    <oddHeader>&amp;C&amp;"Arial"&amp;12&amp;KA80000 OFFICIAL&amp;1#_x000D_</oddHeader>
    <oddFooter>&amp;L&amp;Z
&amp;F&amp;C&amp;A&amp;R&amp;D</oddFooter>
  </headerFooter>
  <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pageSetUpPr fitToPage="1"/>
  </sheetPr>
  <dimension ref="A1:V89"/>
  <sheetViews>
    <sheetView showGridLines="0" topLeftCell="A3" zoomScale="90" zoomScaleNormal="90" workbookViewId="0">
      <selection activeCell="G8" sqref="G8:M19"/>
    </sheetView>
  </sheetViews>
  <sheetFormatPr defaultRowHeight="15" x14ac:dyDescent="0.25"/>
  <cols>
    <col min="1" max="1" width="21" customWidth="1"/>
    <col min="2" max="2" width="11.5703125" customWidth="1"/>
    <col min="3" max="3" width="37.7109375" customWidth="1"/>
    <col min="4" max="4" width="13.5703125" customWidth="1"/>
    <col min="5" max="5" width="11" customWidth="1"/>
    <col min="7" max="7" width="21.5703125" customWidth="1"/>
    <col min="8" max="8" width="15" customWidth="1"/>
    <col min="9" max="9" width="12.28515625" customWidth="1"/>
    <col min="10" max="10" width="12.140625" customWidth="1"/>
    <col min="11" max="11" width="14.42578125" customWidth="1"/>
    <col min="12" max="12" width="13.5703125" customWidth="1"/>
    <col min="13" max="13" width="55.140625" customWidth="1"/>
    <col min="18" max="22" width="12.42578125" customWidth="1"/>
  </cols>
  <sheetData>
    <row r="1" spans="1:22" ht="44.25" customHeight="1" x14ac:dyDescent="0.25">
      <c r="A1" s="1322" t="s">
        <v>339</v>
      </c>
      <c r="B1" s="1323"/>
      <c r="C1" s="1324" t="str">
        <f>'Summary Page'!E13</f>
        <v/>
      </c>
      <c r="D1" s="1325"/>
      <c r="E1" s="1326"/>
      <c r="F1" s="1360"/>
      <c r="G1" s="1285"/>
      <c r="H1" s="1285"/>
      <c r="I1" s="1285"/>
      <c r="J1" s="1286"/>
      <c r="K1" s="1295" t="s">
        <v>460</v>
      </c>
      <c r="L1" s="1295"/>
      <c r="M1" s="404"/>
      <c r="P1" s="525" t="str">
        <f>B31</f>
        <v>A1005</v>
      </c>
      <c r="Q1" s="526" t="s">
        <v>19</v>
      </c>
      <c r="R1" s="1273" t="str">
        <f>C32</f>
        <v xml:space="preserve">Excavation of earthen materials from local borrow pits, plus haulage </v>
      </c>
      <c r="S1" s="1274"/>
      <c r="T1" s="1274"/>
      <c r="U1" s="1274"/>
      <c r="V1" s="1275"/>
    </row>
    <row r="2" spans="1:22" ht="30" x14ac:dyDescent="0.35">
      <c r="A2" s="368" t="s">
        <v>461</v>
      </c>
      <c r="B2" s="325">
        <v>14</v>
      </c>
      <c r="C2" s="1296" t="str">
        <f>'Summary Page'!E19</f>
        <v/>
      </c>
      <c r="D2" s="1297"/>
      <c r="E2" s="1348"/>
      <c r="F2" s="1287"/>
      <c r="G2" s="1288"/>
      <c r="H2" s="1288"/>
      <c r="I2" s="1288"/>
      <c r="J2" s="1289"/>
      <c r="K2" s="326"/>
      <c r="L2" s="327" t="s">
        <v>152</v>
      </c>
      <c r="M2" s="328">
        <f>K61</f>
        <v>0</v>
      </c>
      <c r="P2" s="297" t="s">
        <v>61</v>
      </c>
      <c r="Q2" s="371" t="s">
        <v>58</v>
      </c>
      <c r="R2" s="371" t="s">
        <v>59</v>
      </c>
      <c r="S2" s="371" t="s">
        <v>60</v>
      </c>
      <c r="T2" s="371" t="s">
        <v>53</v>
      </c>
      <c r="U2" s="372" t="s">
        <v>61</v>
      </c>
      <c r="V2" s="373" t="s">
        <v>53</v>
      </c>
    </row>
    <row r="3" spans="1:22" ht="18.75" customHeight="1" x14ac:dyDescent="0.25">
      <c r="A3" s="329" t="s">
        <v>267</v>
      </c>
      <c r="B3" s="330">
        <f>'Version Control'!B50</f>
        <v>7</v>
      </c>
      <c r="C3" s="1356"/>
      <c r="D3" s="1357"/>
      <c r="E3" s="1358"/>
      <c r="F3" s="1290"/>
      <c r="G3" s="1291"/>
      <c r="H3" s="1291"/>
      <c r="I3" s="1291"/>
      <c r="J3" s="1292"/>
      <c r="K3" s="331"/>
      <c r="L3" s="332" t="s">
        <v>462</v>
      </c>
      <c r="M3" s="333">
        <f>'Summary Page'!J73</f>
        <v>0</v>
      </c>
      <c r="P3" s="374" t="s">
        <v>35</v>
      </c>
      <c r="Q3" s="357">
        <f>VLOOKUP(P1,Activities!$A$10:$Q$152,16,FALSE)</f>
        <v>1.1086505828514972</v>
      </c>
      <c r="R3" s="357">
        <f>VLOOKUP(Q1,Activities!$A$10:$Q$152,16,FALSE)</f>
        <v>1.1303836975020005</v>
      </c>
      <c r="S3" s="376">
        <v>1</v>
      </c>
      <c r="T3" s="375">
        <f>R3+Q3</f>
        <v>2.2390342803534979</v>
      </c>
      <c r="U3" s="235" t="s">
        <v>35</v>
      </c>
      <c r="V3" s="377">
        <f>T3</f>
        <v>2.2390342803534979</v>
      </c>
    </row>
    <row r="4" spans="1:22" ht="21" x14ac:dyDescent="0.25">
      <c r="A4" s="334" t="s">
        <v>463</v>
      </c>
      <c r="B4" s="335">
        <f>'Version Control'!A50</f>
        <v>45531</v>
      </c>
      <c r="C4" s="233"/>
      <c r="D4" s="233"/>
      <c r="E4" s="233"/>
      <c r="F4" s="233"/>
      <c r="G4" s="233"/>
      <c r="H4" s="233"/>
      <c r="I4" s="233"/>
      <c r="J4" s="233"/>
      <c r="K4" s="294"/>
      <c r="L4" s="336" t="s">
        <v>464</v>
      </c>
      <c r="M4" s="337" t="e">
        <f>M2/M3</f>
        <v>#DIV/0!</v>
      </c>
      <c r="P4" s="374" t="s">
        <v>36</v>
      </c>
      <c r="Q4" s="357">
        <f>Q3</f>
        <v>1.1086505828514972</v>
      </c>
      <c r="R4" s="375">
        <f>R3*2</f>
        <v>2.260767395004001</v>
      </c>
      <c r="S4" s="376">
        <v>0.8</v>
      </c>
      <c r="T4" s="375">
        <f>Q4+(R4*S4)</f>
        <v>2.9172644988546983</v>
      </c>
      <c r="U4" s="235" t="s">
        <v>36</v>
      </c>
      <c r="V4" s="377">
        <f>T4</f>
        <v>2.9172644988546983</v>
      </c>
    </row>
    <row r="5" spans="1:22" ht="23.25" x14ac:dyDescent="0.25">
      <c r="A5" s="1349" t="s">
        <v>465</v>
      </c>
      <c r="B5" s="1298"/>
      <c r="C5" s="1298"/>
      <c r="D5" s="1298"/>
      <c r="E5" s="1299"/>
      <c r="F5" s="233"/>
      <c r="G5" s="1302" t="s">
        <v>466</v>
      </c>
      <c r="H5" s="1303"/>
      <c r="I5" s="1303"/>
      <c r="J5" s="1304"/>
      <c r="K5" s="233"/>
      <c r="L5" s="233"/>
      <c r="M5" s="233"/>
      <c r="P5" s="374" t="s">
        <v>37</v>
      </c>
      <c r="Q5" s="357">
        <f t="shared" ref="Q5:Q6" si="0">Q4</f>
        <v>1.1086505828514972</v>
      </c>
      <c r="R5" s="375">
        <f>R3*4</f>
        <v>4.5215347900080021</v>
      </c>
      <c r="S5" s="376">
        <v>0.7</v>
      </c>
      <c r="T5" s="375">
        <f>Q5+(R5*S5)</f>
        <v>4.2737249358570981</v>
      </c>
      <c r="U5" s="235" t="s">
        <v>37</v>
      </c>
      <c r="V5" s="377">
        <f>T5</f>
        <v>4.2737249358570981</v>
      </c>
    </row>
    <row r="6" spans="1:22" ht="15" customHeight="1" x14ac:dyDescent="0.25">
      <c r="A6" s="1350"/>
      <c r="B6" s="1351"/>
      <c r="C6" s="1351"/>
      <c r="D6" s="1351"/>
      <c r="E6" s="1352"/>
      <c r="F6" s="299"/>
      <c r="G6" s="1305" t="s">
        <v>484</v>
      </c>
      <c r="H6" s="1306"/>
      <c r="I6" s="1306"/>
      <c r="J6" s="1306"/>
      <c r="K6" s="1306"/>
      <c r="L6" s="1306"/>
      <c r="M6" s="1307"/>
      <c r="P6" s="374" t="s">
        <v>38</v>
      </c>
      <c r="Q6" s="357">
        <f t="shared" si="0"/>
        <v>1.1086505828514972</v>
      </c>
      <c r="R6" s="375">
        <f>R3*8</f>
        <v>9.0430695800160041</v>
      </c>
      <c r="S6" s="376">
        <v>0.6</v>
      </c>
      <c r="T6" s="375">
        <f>Q6+(R6*S6)</f>
        <v>6.5344923308610987</v>
      </c>
      <c r="U6" s="235" t="s">
        <v>244</v>
      </c>
      <c r="V6" s="377">
        <f>T6</f>
        <v>6.5344923308610987</v>
      </c>
    </row>
    <row r="7" spans="1:22" ht="16.5" customHeight="1" x14ac:dyDescent="0.25">
      <c r="A7" s="348">
        <v>1</v>
      </c>
      <c r="B7" s="1396"/>
      <c r="C7" s="1397"/>
      <c r="D7" s="1397"/>
      <c r="E7" s="1398"/>
      <c r="F7" s="339"/>
      <c r="G7" s="1308"/>
      <c r="H7" s="1309"/>
      <c r="I7" s="1309"/>
      <c r="J7" s="1309"/>
      <c r="K7" s="1309"/>
      <c r="L7" s="1309"/>
      <c r="M7" s="1310"/>
      <c r="P7" s="238"/>
      <c r="Q7" s="236"/>
      <c r="R7" s="236"/>
      <c r="S7" s="236"/>
      <c r="T7" s="236"/>
      <c r="U7" s="236" t="s">
        <v>264</v>
      </c>
      <c r="V7" s="237"/>
    </row>
    <row r="8" spans="1:22" ht="18.75" customHeight="1" x14ac:dyDescent="0.3">
      <c r="A8" s="297">
        <v>2</v>
      </c>
      <c r="B8" s="1399"/>
      <c r="C8" s="1400"/>
      <c r="D8" s="1400"/>
      <c r="E8" s="1401"/>
      <c r="F8" s="339"/>
      <c r="G8" s="1137"/>
      <c r="H8" s="1138"/>
      <c r="I8" s="1138"/>
      <c r="J8" s="1138"/>
      <c r="K8" s="1138"/>
      <c r="L8" s="1138"/>
      <c r="M8" s="1139"/>
      <c r="P8" s="370" t="str">
        <f>B32</f>
        <v>A1006</v>
      </c>
      <c r="Q8" s="550" t="s">
        <v>19</v>
      </c>
      <c r="R8" s="1273" t="s">
        <v>893</v>
      </c>
      <c r="S8" s="1274"/>
      <c r="T8" s="1274"/>
      <c r="U8" s="1274"/>
      <c r="V8" s="1275"/>
    </row>
    <row r="9" spans="1:22" ht="26.25" customHeight="1" x14ac:dyDescent="0.25">
      <c r="A9" s="297">
        <v>3</v>
      </c>
      <c r="B9" s="1402"/>
      <c r="C9" s="1403"/>
      <c r="D9" s="1403"/>
      <c r="E9" s="1404"/>
      <c r="F9" s="339"/>
      <c r="G9" s="1140"/>
      <c r="H9" s="1329"/>
      <c r="I9" s="1329"/>
      <c r="J9" s="1329"/>
      <c r="K9" s="1329"/>
      <c r="L9" s="1329"/>
      <c r="M9" s="1142"/>
      <c r="P9" s="297" t="s">
        <v>61</v>
      </c>
      <c r="Q9" s="371" t="s">
        <v>58</v>
      </c>
      <c r="R9" s="371" t="s">
        <v>59</v>
      </c>
      <c r="S9" s="371" t="s">
        <v>60</v>
      </c>
      <c r="T9" s="371" t="s">
        <v>53</v>
      </c>
      <c r="U9" s="372" t="s">
        <v>61</v>
      </c>
      <c r="V9" s="373" t="s">
        <v>53</v>
      </c>
    </row>
    <row r="10" spans="1:22" ht="15" customHeight="1" x14ac:dyDescent="0.25">
      <c r="A10" s="297">
        <v>4</v>
      </c>
      <c r="B10" s="1327"/>
      <c r="C10" s="1327"/>
      <c r="D10" s="1327"/>
      <c r="E10" s="1328"/>
      <c r="F10" s="339"/>
      <c r="G10" s="1140"/>
      <c r="H10" s="1329"/>
      <c r="I10" s="1329"/>
      <c r="J10" s="1329"/>
      <c r="K10" s="1329"/>
      <c r="L10" s="1329"/>
      <c r="M10" s="1142"/>
      <c r="P10" s="374" t="s">
        <v>35</v>
      </c>
      <c r="Q10" s="357">
        <f>VLOOKUP(P8,Activities!$A$10:$Q$152,16,FALSE)</f>
        <v>1.1086505828514972</v>
      </c>
      <c r="R10" s="357">
        <f>VLOOKUP(Q8,Activities!$A$10:$Q$152,16,FALSE)</f>
        <v>1.1303836975020005</v>
      </c>
      <c r="S10" s="376">
        <v>1</v>
      </c>
      <c r="T10" s="375">
        <f>R10+Q10</f>
        <v>2.2390342803534979</v>
      </c>
      <c r="U10" s="235" t="s">
        <v>35</v>
      </c>
      <c r="V10" s="377">
        <f>T10</f>
        <v>2.2390342803534979</v>
      </c>
    </row>
    <row r="11" spans="1:22" x14ac:dyDescent="0.25">
      <c r="A11" s="297">
        <v>5</v>
      </c>
      <c r="B11" s="1330"/>
      <c r="C11" s="1331"/>
      <c r="D11" s="1331"/>
      <c r="E11" s="1332"/>
      <c r="F11" s="339"/>
      <c r="G11" s="1140"/>
      <c r="H11" s="1329"/>
      <c r="I11" s="1329"/>
      <c r="J11" s="1329"/>
      <c r="K11" s="1329"/>
      <c r="L11" s="1329"/>
      <c r="M11" s="1142"/>
      <c r="P11" s="374" t="s">
        <v>36</v>
      </c>
      <c r="Q11" s="375">
        <f>Q10</f>
        <v>1.1086505828514972</v>
      </c>
      <c r="R11" s="375">
        <f>R10*2</f>
        <v>2.260767395004001</v>
      </c>
      <c r="S11" s="376">
        <v>0.8</v>
      </c>
      <c r="T11" s="375">
        <f>Q11+(R11*S11)</f>
        <v>2.9172644988546983</v>
      </c>
      <c r="U11" s="235" t="s">
        <v>36</v>
      </c>
      <c r="V11" s="377">
        <f>T11</f>
        <v>2.9172644988546983</v>
      </c>
    </row>
    <row r="12" spans="1:22" x14ac:dyDescent="0.25">
      <c r="A12" s="305">
        <v>6</v>
      </c>
      <c r="B12" s="1282"/>
      <c r="C12" s="1282"/>
      <c r="D12" s="1282"/>
      <c r="E12" s="1283"/>
      <c r="F12" s="233"/>
      <c r="G12" s="1140"/>
      <c r="H12" s="1329"/>
      <c r="I12" s="1329"/>
      <c r="J12" s="1329"/>
      <c r="K12" s="1329"/>
      <c r="L12" s="1329"/>
      <c r="M12" s="1142"/>
      <c r="P12" s="374" t="s">
        <v>37</v>
      </c>
      <c r="Q12" s="375">
        <f t="shared" ref="Q12:Q13" si="1">Q11</f>
        <v>1.1086505828514972</v>
      </c>
      <c r="R12" s="375">
        <f>R10*4</f>
        <v>4.5215347900080021</v>
      </c>
      <c r="S12" s="376">
        <v>0.7</v>
      </c>
      <c r="T12" s="375">
        <f>Q12+(R12*S12)</f>
        <v>4.2737249358570981</v>
      </c>
      <c r="U12" s="235" t="s">
        <v>37</v>
      </c>
      <c r="V12" s="377">
        <f>T12</f>
        <v>4.2737249358570981</v>
      </c>
    </row>
    <row r="13" spans="1:22" x14ac:dyDescent="0.25">
      <c r="A13" s="340" t="s">
        <v>34</v>
      </c>
      <c r="B13" s="233"/>
      <c r="C13" s="233"/>
      <c r="D13" s="233"/>
      <c r="E13" s="233"/>
      <c r="F13" s="233"/>
      <c r="G13" s="1140"/>
      <c r="H13" s="1329"/>
      <c r="I13" s="1329"/>
      <c r="J13" s="1329"/>
      <c r="K13" s="1329"/>
      <c r="L13" s="1329"/>
      <c r="M13" s="1142"/>
      <c r="P13" s="374" t="s">
        <v>38</v>
      </c>
      <c r="Q13" s="375">
        <f t="shared" si="1"/>
        <v>1.1086505828514972</v>
      </c>
      <c r="R13" s="375">
        <f>R10*8</f>
        <v>9.0430695800160041</v>
      </c>
      <c r="S13" s="376">
        <v>0.6</v>
      </c>
      <c r="T13" s="375">
        <f>Q13+(R13*S13)</f>
        <v>6.5344923308610987</v>
      </c>
      <c r="U13" s="235" t="s">
        <v>244</v>
      </c>
      <c r="V13" s="377">
        <f>T13</f>
        <v>6.5344923308610987</v>
      </c>
    </row>
    <row r="14" spans="1:22" x14ac:dyDescent="0.25">
      <c r="A14" s="1276"/>
      <c r="B14" s="1277"/>
      <c r="C14" s="1278" t="s">
        <v>352</v>
      </c>
      <c r="D14" s="1278"/>
      <c r="E14" s="1279"/>
      <c r="F14" s="233"/>
      <c r="G14" s="1140"/>
      <c r="H14" s="1329"/>
      <c r="I14" s="1329"/>
      <c r="J14" s="1329"/>
      <c r="K14" s="1329"/>
      <c r="L14" s="1329"/>
      <c r="M14" s="1142"/>
      <c r="P14" s="238"/>
      <c r="Q14" s="236"/>
      <c r="R14" s="236"/>
      <c r="S14" s="236"/>
      <c r="T14" s="236"/>
      <c r="U14" s="236" t="s">
        <v>264</v>
      </c>
      <c r="V14" s="237"/>
    </row>
    <row r="15" spans="1:22" x14ac:dyDescent="0.25">
      <c r="A15" s="1201"/>
      <c r="B15" s="1202"/>
      <c r="C15" s="1280" t="s">
        <v>467</v>
      </c>
      <c r="D15" s="1280"/>
      <c r="E15" s="1281"/>
      <c r="F15" s="233"/>
      <c r="G15" s="1140"/>
      <c r="H15" s="1329"/>
      <c r="I15" s="1329"/>
      <c r="J15" s="1329"/>
      <c r="K15" s="1329"/>
      <c r="L15" s="1329"/>
      <c r="M15" s="1142"/>
      <c r="P15" s="233"/>
      <c r="Q15" s="233"/>
      <c r="R15" s="233"/>
      <c r="S15" s="233"/>
      <c r="T15" s="233"/>
      <c r="U15" s="233"/>
      <c r="V15" s="233"/>
    </row>
    <row r="16" spans="1:22" ht="15" customHeight="1" x14ac:dyDescent="0.3">
      <c r="A16" s="1284" t="s">
        <v>824</v>
      </c>
      <c r="B16" s="1285"/>
      <c r="C16" s="1285"/>
      <c r="D16" s="1285"/>
      <c r="E16" s="1286"/>
      <c r="F16" s="233"/>
      <c r="G16" s="1140"/>
      <c r="H16" s="1329"/>
      <c r="I16" s="1329"/>
      <c r="J16" s="1329"/>
      <c r="K16" s="1329"/>
      <c r="L16" s="1329"/>
      <c r="M16" s="1142"/>
      <c r="P16" s="370" t="str">
        <f>B34</f>
        <v>A1013</v>
      </c>
      <c r="Q16" s="526" t="s">
        <v>19</v>
      </c>
      <c r="R16" s="1364" t="s">
        <v>890</v>
      </c>
      <c r="S16" s="1365"/>
      <c r="T16" s="1365"/>
      <c r="U16" s="1365"/>
      <c r="V16" s="1366"/>
    </row>
    <row r="17" spans="1:22" ht="30" x14ac:dyDescent="0.25">
      <c r="A17" s="1287"/>
      <c r="B17" s="1288"/>
      <c r="C17" s="1288"/>
      <c r="D17" s="1288"/>
      <c r="E17" s="1289"/>
      <c r="F17" s="233"/>
      <c r="G17" s="1140"/>
      <c r="H17" s="1329"/>
      <c r="I17" s="1329"/>
      <c r="J17" s="1329"/>
      <c r="K17" s="1329"/>
      <c r="L17" s="1329"/>
      <c r="M17" s="1142"/>
      <c r="P17" s="297" t="s">
        <v>61</v>
      </c>
      <c r="Q17" s="371" t="s">
        <v>58</v>
      </c>
      <c r="R17" s="371" t="s">
        <v>59</v>
      </c>
      <c r="S17" s="371" t="s">
        <v>60</v>
      </c>
      <c r="T17" s="371" t="s">
        <v>53</v>
      </c>
      <c r="U17" s="372" t="s">
        <v>61</v>
      </c>
      <c r="V17" s="373" t="s">
        <v>53</v>
      </c>
    </row>
    <row r="18" spans="1:22" x14ac:dyDescent="0.25">
      <c r="A18" s="1287"/>
      <c r="B18" s="1288"/>
      <c r="C18" s="1288"/>
      <c r="D18" s="1288"/>
      <c r="E18" s="1289"/>
      <c r="F18" s="233"/>
      <c r="G18" s="1140"/>
      <c r="H18" s="1329"/>
      <c r="I18" s="1329"/>
      <c r="J18" s="1329"/>
      <c r="K18" s="1329"/>
      <c r="L18" s="1329"/>
      <c r="M18" s="1142"/>
      <c r="P18" s="374" t="s">
        <v>35</v>
      </c>
      <c r="Q18" s="357">
        <f>VLOOKUP(P16,Activities!$A$10:$Q$152,16,FALSE)</f>
        <v>1.4289323610931841</v>
      </c>
      <c r="R18" s="357">
        <f>VLOOKUP(Q16,Activities!$A$10:$Q$152,16,FALSE)</f>
        <v>1.1303836975020005</v>
      </c>
      <c r="S18" s="376">
        <v>1</v>
      </c>
      <c r="T18" s="375">
        <f>R18+Q18</f>
        <v>2.5593160585951846</v>
      </c>
      <c r="U18" s="235" t="s">
        <v>35</v>
      </c>
      <c r="V18" s="377">
        <f>T18</f>
        <v>2.5593160585951846</v>
      </c>
    </row>
    <row r="19" spans="1:22" x14ac:dyDescent="0.25">
      <c r="A19" s="1290"/>
      <c r="B19" s="1291"/>
      <c r="C19" s="1291"/>
      <c r="D19" s="1291"/>
      <c r="E19" s="1292"/>
      <c r="F19" s="233"/>
      <c r="G19" s="1143"/>
      <c r="H19" s="1144"/>
      <c r="I19" s="1144"/>
      <c r="J19" s="1144"/>
      <c r="K19" s="1144"/>
      <c r="L19" s="1144"/>
      <c r="M19" s="1145"/>
      <c r="P19" s="374" t="s">
        <v>36</v>
      </c>
      <c r="Q19" s="375">
        <f>Q18</f>
        <v>1.4289323610931841</v>
      </c>
      <c r="R19" s="375">
        <f>R18*2</f>
        <v>2.260767395004001</v>
      </c>
      <c r="S19" s="376">
        <v>0.8</v>
      </c>
      <c r="T19" s="375">
        <f>Q19+(R19*S19)</f>
        <v>3.237546277096385</v>
      </c>
      <c r="U19" s="235" t="s">
        <v>36</v>
      </c>
      <c r="V19" s="377">
        <f>T19</f>
        <v>3.237546277096385</v>
      </c>
    </row>
    <row r="20" spans="1:22" x14ac:dyDescent="0.25">
      <c r="A20" s="233"/>
      <c r="B20" s="233"/>
      <c r="C20" s="233"/>
      <c r="D20" s="366"/>
      <c r="E20" s="233"/>
      <c r="F20" s="233"/>
      <c r="G20" s="233"/>
      <c r="H20" s="233"/>
      <c r="I20" s="233"/>
      <c r="J20" s="219"/>
      <c r="K20" s="367"/>
      <c r="L20" s="1291"/>
      <c r="M20" s="1292"/>
      <c r="P20" s="374" t="s">
        <v>37</v>
      </c>
      <c r="Q20" s="375">
        <f t="shared" ref="Q20:Q21" si="2">Q19</f>
        <v>1.4289323610931841</v>
      </c>
      <c r="R20" s="375">
        <f>R18*4</f>
        <v>4.5215347900080021</v>
      </c>
      <c r="S20" s="376">
        <v>0.7</v>
      </c>
      <c r="T20" s="375">
        <f>Q20+(R20*S20)</f>
        <v>4.5940067140987857</v>
      </c>
      <c r="U20" s="235" t="s">
        <v>37</v>
      </c>
      <c r="V20" s="377">
        <f>T20</f>
        <v>4.5940067140987857</v>
      </c>
    </row>
    <row r="21" spans="1:22" s="1" customFormat="1" ht="75.75" customHeight="1" thickBot="1" x14ac:dyDescent="0.3">
      <c r="A21" s="119" t="s">
        <v>39</v>
      </c>
      <c r="B21" s="120" t="s">
        <v>40</v>
      </c>
      <c r="C21" s="120" t="s">
        <v>479</v>
      </c>
      <c r="D21" s="311" t="s">
        <v>272</v>
      </c>
      <c r="E21" s="311" t="s">
        <v>43</v>
      </c>
      <c r="F21" s="120" t="s">
        <v>273</v>
      </c>
      <c r="G21" s="1212" t="s">
        <v>416</v>
      </c>
      <c r="H21" s="1212"/>
      <c r="I21" s="120" t="s">
        <v>45</v>
      </c>
      <c r="J21" s="312" t="s">
        <v>271</v>
      </c>
      <c r="K21" s="120" t="s">
        <v>47</v>
      </c>
      <c r="L21" s="120" t="s">
        <v>270</v>
      </c>
      <c r="M21" s="317" t="s">
        <v>415</v>
      </c>
      <c r="P21" s="374" t="s">
        <v>38</v>
      </c>
      <c r="Q21" s="375">
        <f t="shared" si="2"/>
        <v>1.4289323610931841</v>
      </c>
      <c r="R21" s="375">
        <f>R18*8</f>
        <v>9.0430695800160041</v>
      </c>
      <c r="S21" s="376">
        <v>0.6</v>
      </c>
      <c r="T21" s="375">
        <f>Q21+(R21*S21)</f>
        <v>6.8547741091027863</v>
      </c>
      <c r="U21" s="235" t="s">
        <v>244</v>
      </c>
      <c r="V21" s="377">
        <f>T21</f>
        <v>6.8547741091027863</v>
      </c>
    </row>
    <row r="22" spans="1:22" ht="84.75" thickBot="1" x14ac:dyDescent="0.3">
      <c r="A22" s="1362" t="s">
        <v>889</v>
      </c>
      <c r="B22" s="86" t="s">
        <v>9</v>
      </c>
      <c r="C22" s="259" t="str">
        <f>VLOOKUP($B22,Activities!$A$10:$P$152,3,FALSE)</f>
        <v>Engineering Assessment of Water Retaining Structures</v>
      </c>
      <c r="D22" s="239" t="s">
        <v>49</v>
      </c>
      <c r="E22" s="320"/>
      <c r="F22" s="246" t="str">
        <f>VLOOKUP($B22,Activities!$A$10:$P$152,4,FALSE)</f>
        <v>Item</v>
      </c>
      <c r="G22" s="1269"/>
      <c r="H22" s="1270"/>
      <c r="I22" s="273">
        <f>VLOOKUP($B22,Activities!$A$10:$S$152,16,FALSE)</f>
        <v>15327.503732344783</v>
      </c>
      <c r="J22" s="269"/>
      <c r="K22" s="388">
        <f t="shared" ref="K22:K25" si="3">IF(D22="Y",IF(J22="",I22*E22,J22*E22),0)</f>
        <v>0</v>
      </c>
      <c r="L22" s="248" t="str">
        <f t="shared" ref="L22:L25" si="4">IFERROR(IF(D22="Y",K22/$K$57,0%),"0.0%")</f>
        <v>0.0%</v>
      </c>
      <c r="M22" s="290" t="str">
        <f>VLOOKUP($B22,Activities!$A$10:$S$152,19,FALSE)</f>
        <v>This activity is to provide for an engineering assessment of the structure and stability of any water retaining structures (excluding minor sediment traps,etc.) to ensure that they are of suitable capacity to withstand any flood event, with a wall of sufficient size and stable enough to hold any such event and with a spillway that is of sufficient capacity and design stabiltiy to handle any potential water flows.</v>
      </c>
      <c r="P22" s="378"/>
      <c r="Q22" s="379"/>
      <c r="R22" s="379"/>
      <c r="S22" s="379"/>
      <c r="T22" s="379"/>
      <c r="U22" s="236" t="s">
        <v>264</v>
      </c>
      <c r="V22" s="380"/>
    </row>
    <row r="23" spans="1:22" ht="57" customHeight="1" thickBot="1" x14ac:dyDescent="0.3">
      <c r="A23" s="1389"/>
      <c r="B23" s="86" t="s">
        <v>338</v>
      </c>
      <c r="C23" s="259" t="str">
        <f>VLOOKUP($B23,Activities!$A$10:$P$152,3,FALSE)</f>
        <v>Construction of inflow and outflow/spillway structures for water storage facilities</v>
      </c>
      <c r="D23" s="239" t="s">
        <v>49</v>
      </c>
      <c r="E23" s="320"/>
      <c r="F23" s="246" t="str">
        <f>VLOOKUP($B23,Activities!$A$10:$P$152,4,FALSE)</f>
        <v>m2</v>
      </c>
      <c r="G23" s="1269"/>
      <c r="H23" s="1270"/>
      <c r="I23" s="273">
        <f>VLOOKUP($B23,Activities!$A$10:$S$152,16,FALSE)</f>
        <v>131.93264502832614</v>
      </c>
      <c r="J23" s="269"/>
      <c r="K23" s="388">
        <f t="shared" si="3"/>
        <v>0</v>
      </c>
      <c r="L23" s="248" t="str">
        <f t="shared" si="4"/>
        <v>0.0%</v>
      </c>
      <c r="M23" s="290" t="str">
        <f>VLOOKUP($B23,Activities!$A$10:$S$152,19,FALSE)</f>
        <v>This activity covers the construction of inflow and outflow/spillway structures to ensure the long term stability of the water storage facilities.  The structures should be in accordance with the engineering design and suitable for the long term.</v>
      </c>
    </row>
    <row r="24" spans="1:22" ht="57" customHeight="1" thickBot="1" x14ac:dyDescent="0.3">
      <c r="A24" s="1389"/>
      <c r="B24" s="86" t="s">
        <v>341</v>
      </c>
      <c r="C24" s="259" t="str">
        <f>VLOOKUP($B24,Activities!$A$10:$P$152,3,FALSE)</f>
        <v>Removal of Sediments from Bottom of Dam</v>
      </c>
      <c r="D24" s="239" t="s">
        <v>49</v>
      </c>
      <c r="E24" s="320"/>
      <c r="F24" s="246" t="str">
        <f>VLOOKUP($B24,Activities!$A$10:$P$152,4,FALSE)</f>
        <v>m3</v>
      </c>
      <c r="G24" s="1269"/>
      <c r="H24" s="1270"/>
      <c r="I24" s="272">
        <f>VLOOKUP($B24,Activities!$A$10:$S$152,16,FALSE)</f>
        <v>6.755602059015553</v>
      </c>
      <c r="J24" s="269"/>
      <c r="K24" s="388">
        <f t="shared" si="3"/>
        <v>0</v>
      </c>
      <c r="L24" s="248" t="str">
        <f t="shared" si="4"/>
        <v>0.0%</v>
      </c>
      <c r="M24" s="290" t="str">
        <f>VLOOKUP($B24,Activities!$A$10:$S$152,19,FALSE)</f>
        <v>This activity covers the situation when sediments are to be removed from the bottom of a dam either for the dam to continue as a fresh water dam or to remove to a dump site for other treatment.</v>
      </c>
    </row>
    <row r="25" spans="1:22" ht="57" customHeight="1" thickBot="1" x14ac:dyDescent="0.3">
      <c r="A25" s="1390"/>
      <c r="B25" s="245" t="s">
        <v>607</v>
      </c>
      <c r="C25" s="259" t="str">
        <f>VLOOKUP($B25,Activities!$A$10:$P$152,3,FALSE)</f>
        <v>Purchase and installation of HDPE liner</v>
      </c>
      <c r="D25" s="239" t="s">
        <v>49</v>
      </c>
      <c r="E25" s="320"/>
      <c r="F25" s="246" t="str">
        <f>VLOOKUP($B25,Activities!$A$10:$P$152,4,FALSE)</f>
        <v>m2</v>
      </c>
      <c r="G25" s="1269"/>
      <c r="H25" s="1270"/>
      <c r="I25" s="272">
        <f>VLOOKUP($B25,Activities!$A$10:$S$152,16,FALSE)</f>
        <v>6.2780566445815191</v>
      </c>
      <c r="J25" s="269"/>
      <c r="K25" s="388">
        <f t="shared" si="3"/>
        <v>0</v>
      </c>
      <c r="L25" s="248" t="str">
        <f t="shared" si="4"/>
        <v>0.0%</v>
      </c>
      <c r="M25" s="290" t="str">
        <f>VLOOKUP($B25,Activities!$A$10:$S$152,19,FALSE)</f>
        <v>Activity covers the purchase and installation of a HDPE liner for applications such as dams, leach pads, sumps etc (120m2 per hour)</v>
      </c>
    </row>
    <row r="26" spans="1:22" ht="15.75" thickBot="1" x14ac:dyDescent="0.3">
      <c r="A26" s="111" t="s">
        <v>53</v>
      </c>
      <c r="B26" s="112" t="str">
        <f>A22</f>
        <v>Treatment of Dams and Water Storage Facilities that are to be retained on site post mining.</v>
      </c>
      <c r="C26" s="103"/>
      <c r="D26" s="24"/>
      <c r="E26" s="25"/>
      <c r="F26" s="24"/>
      <c r="G26" s="24"/>
      <c r="H26" s="24"/>
      <c r="I26" s="26"/>
      <c r="J26" s="152"/>
      <c r="K26" s="28">
        <f>SUM(K22:K25)</f>
        <v>0</v>
      </c>
      <c r="L26" s="171"/>
      <c r="M26" s="172"/>
    </row>
    <row r="27" spans="1:22" ht="55.5" customHeight="1" thickBot="1" x14ac:dyDescent="0.3">
      <c r="A27" s="1132" t="s">
        <v>346</v>
      </c>
      <c r="B27" s="86" t="s">
        <v>343</v>
      </c>
      <c r="C27" s="259" t="str">
        <f>VLOOKUP($B27,Activities!$A$10:$P$152,3,FALSE)</f>
        <v>Pumping of liquid from a Dam to waste storage or evaporation pond</v>
      </c>
      <c r="D27" s="239" t="s">
        <v>49</v>
      </c>
      <c r="E27" s="320"/>
      <c r="F27" s="246" t="str">
        <f>VLOOKUP($B27,Activities!$A$10:$P$152,4,FALSE)</f>
        <v>ML</v>
      </c>
      <c r="G27" s="1269"/>
      <c r="H27" s="1270"/>
      <c r="I27" s="273">
        <f>VLOOKUP($B27,Activities!$A$10:$S$152,16,FALSE)</f>
        <v>153.12113319952425</v>
      </c>
      <c r="J27" s="269"/>
      <c r="K27" s="388">
        <f t="shared" ref="K27:K30" si="5">IF(D27="Y",IF(J27="",I27*E27,J27*E27),0)</f>
        <v>0</v>
      </c>
      <c r="L27" s="248" t="str">
        <f t="shared" ref="L27:L30" si="6">IFERROR(IF(D27="Y",K27/$K$57,0%),"0.0%")</f>
        <v>0.0%</v>
      </c>
      <c r="M27" s="290" t="str">
        <f>VLOOKUP($B27,Activities!$A$10:$S$152,19,FALSE)</f>
        <v>This activity covers the costs of pumping out a dam or water/liquid storage facility prior to demolition.</v>
      </c>
    </row>
    <row r="28" spans="1:22" ht="72.75" thickBot="1" x14ac:dyDescent="0.3">
      <c r="A28" s="1133"/>
      <c r="B28" s="86" t="s">
        <v>405</v>
      </c>
      <c r="C28" s="259" t="str">
        <f>VLOOKUP($B28,Activities!$A$10:$P$152,3,FALSE)</f>
        <v>Removal of a dam liner and minor pipework to enable the reinstatement of a water dam or other storage facility.</v>
      </c>
      <c r="D28" s="239" t="s">
        <v>49</v>
      </c>
      <c r="E28" s="320"/>
      <c r="F28" s="246" t="str">
        <f>VLOOKUP($B28,Activities!$A$10:$P$152,4,FALSE)</f>
        <v>Item</v>
      </c>
      <c r="G28" s="1269"/>
      <c r="H28" s="1270"/>
      <c r="I28" s="273">
        <f>VLOOKUP($B28,Activities!$A$10:$S$152,16,FALSE)</f>
        <v>2413.2207421290032</v>
      </c>
      <c r="J28" s="269"/>
      <c r="K28" s="388">
        <f t="shared" ref="K28" si="7">IF(D28="Y",IF(J28="",I28*E28,J28*E28),0)</f>
        <v>0</v>
      </c>
      <c r="L28" s="248" t="str">
        <f t="shared" ref="L28" si="8">IFERROR(IF(D28="Y",K28/$K$57,0%),"0.0%")</f>
        <v>0.0%</v>
      </c>
      <c r="M28" s="290" t="str">
        <f>VLOOKUP($B28,Activities!$A$10:$S$152,19,FALSE)</f>
        <v>This activity involves the removal and tidying up of a water storage area prior to bulk movement of material to reinstate the area back to natural surface.  It also includes the removal of any pipes, pumps and other items associated with the use of the dam.  IT is assumed that the liner if present will be cut and folded onto itself in the centre of the dam so that the liner can be buried.</v>
      </c>
    </row>
    <row r="29" spans="1:22" ht="48.75" thickBot="1" x14ac:dyDescent="0.3">
      <c r="A29" s="1133"/>
      <c r="B29" s="86" t="s">
        <v>341</v>
      </c>
      <c r="C29" s="259" t="str">
        <f>VLOOKUP($B29,Activities!$A$10:$P$152,3,FALSE)</f>
        <v>Removal of Sediments from Bottom of Dam</v>
      </c>
      <c r="D29" s="239" t="s">
        <v>49</v>
      </c>
      <c r="E29" s="320"/>
      <c r="F29" s="246" t="str">
        <f>VLOOKUP($B29,Activities!$A$10:$P$152,4,FALSE)</f>
        <v>m3</v>
      </c>
      <c r="G29" s="1269"/>
      <c r="H29" s="1270"/>
      <c r="I29" s="272">
        <f>VLOOKUP($B29,Activities!$A$10:$S$152,16,FALSE)</f>
        <v>6.755602059015553</v>
      </c>
      <c r="J29" s="269"/>
      <c r="K29" s="388">
        <f t="shared" si="5"/>
        <v>0</v>
      </c>
      <c r="L29" s="248" t="str">
        <f t="shared" si="6"/>
        <v>0.0%</v>
      </c>
      <c r="M29" s="290" t="str">
        <f>VLOOKUP($B29,Activities!$A$10:$S$152,19,FALSE)</f>
        <v>This activity covers the situation when sediments are to be removed from the bottom of a dam either for the dam to continue as a fresh water dam or to remove to a dump site for other treatment.</v>
      </c>
    </row>
    <row r="30" spans="1:22" ht="60.75" customHeight="1" thickBot="1" x14ac:dyDescent="0.3">
      <c r="A30" s="1133"/>
      <c r="B30" s="245" t="s">
        <v>13</v>
      </c>
      <c r="C30" s="259" t="str">
        <f>VLOOKUP($B30,Activities!$A$10:$P$152,3,FALSE)</f>
        <v>Major Bulk Pushing/Dozing to achieve Final Land Forms</v>
      </c>
      <c r="D30" s="239" t="s">
        <v>49</v>
      </c>
      <c r="E30" s="320"/>
      <c r="F30" s="246" t="str">
        <f>VLOOKUP($B30,Activities!$A$10:$P$152,4,FALSE)</f>
        <v>m3</v>
      </c>
      <c r="G30" s="1269"/>
      <c r="H30" s="1270"/>
      <c r="I30" s="272">
        <f>VLOOKUP($B30,Activities!$A$10:$S$152,16,FALSE)</f>
        <v>0.96390609627070267</v>
      </c>
      <c r="J30" s="269"/>
      <c r="K30" s="388">
        <f t="shared" si="5"/>
        <v>0</v>
      </c>
      <c r="L30" s="248" t="str">
        <f t="shared" si="6"/>
        <v>0.0%</v>
      </c>
      <c r="M30" s="290" t="str">
        <f>VLOOKUP($B30,Activities!$A$10:$S$152,19,FALSE)</f>
        <v>This unit cost covers the use of a dozer to push material within reasonable confines to achieve a Final Land Form.  It is often undertaken prior to covering a tailing storage facility</v>
      </c>
    </row>
    <row r="31" spans="1:22" ht="63.75" thickBot="1" x14ac:dyDescent="0.3">
      <c r="A31" s="1133"/>
      <c r="B31" s="102" t="s">
        <v>16</v>
      </c>
      <c r="C31" s="259" t="str">
        <f>VLOOKUP($B31,Activities!$A$10:$P$152,3,FALSE)</f>
        <v>Load and haul of mined, processed, stockpiled materials or topsoil</v>
      </c>
      <c r="D31" s="239" t="s">
        <v>49</v>
      </c>
      <c r="E31" s="346"/>
      <c r="F31" s="246" t="str">
        <f>VLOOKUP($B31,Activities!$A$10:$P$152,4,FALSE)</f>
        <v>m3</v>
      </c>
      <c r="G31" s="310" t="s">
        <v>51</v>
      </c>
      <c r="H31" s="167" t="s">
        <v>264</v>
      </c>
      <c r="I31" s="350">
        <f>VLOOKUP(H31,U3:V7,2)</f>
        <v>0</v>
      </c>
      <c r="J31" s="269"/>
      <c r="K31" s="387">
        <f t="shared" ref="K31:K34" si="9">IF(D31="Y",IF(J31="",I31*E31,J31*E31),"")</f>
        <v>0</v>
      </c>
      <c r="L31" s="145" t="str">
        <f>IFERROR(IF(D31="Y",K31/$K$61,0%),"0.0%")</f>
        <v>0.0%</v>
      </c>
      <c r="M31" s="290" t="str">
        <f>VLOOKUP($B31,Activities!$A$10:$S$152,19,FALSE)</f>
        <v>This activity involves loading into a truck of material previously mined, processed material or topsoil, and hauling a selected distance.</v>
      </c>
    </row>
    <row r="32" spans="1:22" ht="63.75" thickBot="1" x14ac:dyDescent="0.3">
      <c r="A32" s="1133"/>
      <c r="B32" s="102" t="s">
        <v>17</v>
      </c>
      <c r="C32" s="259" t="str">
        <f>VLOOKUP($B32,Activities!$A$10:$P$152,3,FALSE)</f>
        <v xml:space="preserve">Excavation of earthen materials from local borrow pits, plus haulage </v>
      </c>
      <c r="D32" s="239" t="s">
        <v>49</v>
      </c>
      <c r="E32" s="346"/>
      <c r="F32" s="246" t="str">
        <f>VLOOKUP($B32,Activities!$A$10:$P$152,4,FALSE)</f>
        <v>m3</v>
      </c>
      <c r="G32" s="310" t="s">
        <v>51</v>
      </c>
      <c r="H32" s="167" t="s">
        <v>264</v>
      </c>
      <c r="I32" s="350">
        <f>VLOOKUP(H32,U10:V14,2)</f>
        <v>0</v>
      </c>
      <c r="J32" s="269"/>
      <c r="K32" s="387">
        <f>IF(D32="Y",IF(J32="",I32*E32,J32*E32),"")</f>
        <v>0</v>
      </c>
      <c r="L32" s="248" t="str">
        <f t="shared" ref="L32" si="10">IFERROR(IF(D32="Y",K32/$K$62,0%),"0.0%")</f>
        <v>0.0%</v>
      </c>
      <c r="M32" s="290" t="str">
        <f>VLOOKUP($B32,Activities!$A$10:$S$152,19,FALSE)</f>
        <v>This activity involves the excavation of earthern material from a local borrow pit and the loading of that material into a truck.  Haulage cost based on distance hauled.</v>
      </c>
    </row>
    <row r="33" spans="1:19" ht="48" thickBot="1" x14ac:dyDescent="0.3">
      <c r="A33" s="1133"/>
      <c r="B33" s="102" t="s">
        <v>18</v>
      </c>
      <c r="C33" s="259" t="str">
        <f>VLOOKUP($B33,Activities!$A$10:$P$152,3,FALSE)</f>
        <v>Spreading Materials on ground or an open area excluding compaction (&gt;1,000m3)</v>
      </c>
      <c r="D33" s="239" t="s">
        <v>49</v>
      </c>
      <c r="E33" s="320"/>
      <c r="F33" s="246" t="str">
        <f>VLOOKUP($B33,Activities!$A$10:$P$152,4,FALSE)</f>
        <v>m3</v>
      </c>
      <c r="G33" s="1269"/>
      <c r="H33" s="1270"/>
      <c r="I33" s="272">
        <f>VLOOKUP($B33,Activities!$A$10:$S$152,16,FALSE)</f>
        <v>1.0890037105820705</v>
      </c>
      <c r="J33" s="269"/>
      <c r="K33" s="388">
        <f t="shared" ref="K33" si="11">IF(D33="Y",IF(J33="",I33*E33,J33*E33),0)</f>
        <v>0</v>
      </c>
      <c r="L33" s="248" t="str">
        <f t="shared" ref="L33" si="12">IFERROR(IF(D33="Y",K33/$K$57,0%),"0.0%")</f>
        <v>0.0%</v>
      </c>
      <c r="M33" s="290" t="str">
        <f>VLOOKUP($B33,Activities!$A$10:$S$152,19,FALSE)</f>
        <v xml:space="preserve">This activity involves the spreading of material that has been transported and dumped at the work area. </v>
      </c>
    </row>
    <row r="34" spans="1:19" ht="63.75" thickBot="1" x14ac:dyDescent="0.3">
      <c r="A34" s="1133"/>
      <c r="B34" s="102" t="s">
        <v>70</v>
      </c>
      <c r="C34" s="259" t="str">
        <f>VLOOKUP($B34,Activities!$A$10:$P$152,3,FALSE)</f>
        <v>Sourcing, Carting and Spreading of Topsoil over an Area</v>
      </c>
      <c r="D34" s="239" t="s">
        <v>49</v>
      </c>
      <c r="E34" s="346"/>
      <c r="F34" s="246" t="str">
        <f>VLOOKUP($B34,Activities!$A$10:$P$152,4,FALSE)</f>
        <v>m3</v>
      </c>
      <c r="G34" s="310" t="s">
        <v>51</v>
      </c>
      <c r="H34" s="140" t="s">
        <v>264</v>
      </c>
      <c r="I34" s="350">
        <f>VLOOKUP(H34,U18:V22,2)</f>
        <v>0</v>
      </c>
      <c r="J34" s="269"/>
      <c r="K34" s="387">
        <f t="shared" si="9"/>
        <v>0</v>
      </c>
      <c r="L34" s="145" t="str">
        <f>IFERROR(IF(D34="Y",K34/$K$61,0%),"0.0%")</f>
        <v>0.0%</v>
      </c>
      <c r="M34" s="290" t="str">
        <f>VLOOKUP($B34,Activities!$A$10:$S$152,19,FALSE)</f>
        <v>This activity covers the sourcing of topsoil or suitable growth medium, transporting from the source to the required area and then spreading it over that area.</v>
      </c>
      <c r="O34" s="47"/>
      <c r="P34" s="47"/>
      <c r="Q34" s="47"/>
      <c r="R34" s="47"/>
      <c r="S34" s="47"/>
    </row>
    <row r="35" spans="1:19" ht="51.75" customHeight="1" thickBot="1" x14ac:dyDescent="0.3">
      <c r="A35" s="1133"/>
      <c r="B35" s="245" t="s">
        <v>21</v>
      </c>
      <c r="C35" s="259" t="str">
        <f>VLOOKUP($B35,Activities!$A$10:$P$152,3,FALSE)</f>
        <v>Scarification to promote vegetation growth</v>
      </c>
      <c r="D35" s="239" t="s">
        <v>49</v>
      </c>
      <c r="E35" s="607"/>
      <c r="F35" s="246" t="str">
        <f>VLOOKUP($B35,Activities!$A$10:$P$152,4,FALSE)</f>
        <v>Ha</v>
      </c>
      <c r="G35" s="1269"/>
      <c r="H35" s="1270"/>
      <c r="I35" s="272">
        <f>Activities!P18</f>
        <v>323.54530924221694</v>
      </c>
      <c r="J35" s="269"/>
      <c r="K35" s="388">
        <f t="shared" ref="K35" si="13">IF(D35="Y",IF(J35="",I35*E35,J35*E35),0)</f>
        <v>0</v>
      </c>
      <c r="L35" s="248" t="str">
        <f>IFERROR(IF(D35="Y",K35/$K$60,0%),"0.0%")</f>
        <v>0.0%</v>
      </c>
      <c r="M35" s="290" t="str">
        <f>VLOOKUP($B35,Activities!$A$10:$S$152,19,FALSE)</f>
        <v xml:space="preserve">This activity is undertaken in preparation for the seeding of a particular area.  </v>
      </c>
      <c r="O35" s="47"/>
      <c r="P35" s="47"/>
      <c r="Q35" s="47"/>
      <c r="R35" s="47"/>
      <c r="S35" s="47"/>
    </row>
    <row r="36" spans="1:19" ht="51.75" customHeight="1" thickBot="1" x14ac:dyDescent="0.3">
      <c r="A36" s="1133"/>
      <c r="B36" s="245" t="s">
        <v>626</v>
      </c>
      <c r="C36" s="259" t="str">
        <f>VLOOKUP($B36,Activities!$A$10:$P$152,3,FALSE)</f>
        <v>Purchase and single application of ground ameliorants (e.g. gypsum)</v>
      </c>
      <c r="D36" s="239" t="s">
        <v>49</v>
      </c>
      <c r="E36" s="320"/>
      <c r="F36" s="246" t="str">
        <f>VLOOKUP($B36,Activities!$A$10:$P$152,4,FALSE)</f>
        <v>Ha</v>
      </c>
      <c r="G36" s="1269"/>
      <c r="H36" s="1270"/>
      <c r="I36" s="273">
        <f>VLOOKUP($B36,Activities!$A$10:$S$152,16,FALSE)</f>
        <v>877.38983538153695</v>
      </c>
      <c r="J36" s="269"/>
      <c r="K36" s="388">
        <f t="shared" ref="K36:K44" si="14">IF(D36="Y",IF(J36="",I36*E36,J36*E36),0)</f>
        <v>0</v>
      </c>
      <c r="L36" s="248" t="str">
        <f t="shared" ref="L36:L44" si="15">IFERROR(IF(D36="Y",K36/$K$57,0%),"0.0%")</f>
        <v>0.0%</v>
      </c>
      <c r="M36" s="290" t="str">
        <f>VLOOKUP($B36,Activities!$A$10:$S$152,19,FALSE)</f>
        <v>This Activity includes the purchase and single application of ground ameliorants (e.g. gypsum).</v>
      </c>
      <c r="O36" s="47"/>
      <c r="P36" s="47"/>
      <c r="Q36" s="47"/>
      <c r="R36" s="47"/>
      <c r="S36" s="47"/>
    </row>
    <row r="37" spans="1:19" ht="51.75" customHeight="1" thickBot="1" x14ac:dyDescent="0.3">
      <c r="A37" s="1133"/>
      <c r="B37" s="245" t="s">
        <v>627</v>
      </c>
      <c r="C37" s="259" t="str">
        <f>VLOOKUP($B37,Activities!$A$10:$P$152,3,FALSE)</f>
        <v>The purchase only of non-native pasture grasses</v>
      </c>
      <c r="D37" s="239" t="s">
        <v>49</v>
      </c>
      <c r="E37" s="320"/>
      <c r="F37" s="246" t="str">
        <f>VLOOKUP($B37,Activities!$A$10:$P$152,4,FALSE)</f>
        <v>Ha</v>
      </c>
      <c r="G37" s="1269"/>
      <c r="H37" s="1270"/>
      <c r="I37" s="273">
        <f>VLOOKUP($B37,Activities!$A$10:$S$152,16,FALSE)</f>
        <v>1774.5180283018869</v>
      </c>
      <c r="J37" s="269"/>
      <c r="K37" s="388">
        <f t="shared" si="14"/>
        <v>0</v>
      </c>
      <c r="L37" s="248" t="str">
        <f t="shared" si="15"/>
        <v>0.0%</v>
      </c>
      <c r="M37" s="290" t="str">
        <f>VLOOKUP($B37,Activities!$A$10:$S$152,19,FALSE)</f>
        <v>This activity covers the purchase of non-native pasture grasses</v>
      </c>
      <c r="O37" s="47"/>
      <c r="P37" s="47"/>
      <c r="Q37" s="47"/>
      <c r="R37" s="47"/>
      <c r="S37" s="47"/>
    </row>
    <row r="38" spans="1:19" ht="51.75" customHeight="1" thickBot="1" x14ac:dyDescent="0.3">
      <c r="A38" s="1133"/>
      <c r="B38" s="245" t="s">
        <v>628</v>
      </c>
      <c r="C38" s="259" t="str">
        <f>VLOOKUP($B38,Activities!$A$10:$P$152,3,FALSE)</f>
        <v>The purchase only of general native seed mix</v>
      </c>
      <c r="D38" s="239" t="s">
        <v>49</v>
      </c>
      <c r="E38" s="320"/>
      <c r="F38" s="246" t="str">
        <f>VLOOKUP($B38,Activities!$A$10:$P$152,4,FALSE)</f>
        <v>Ha</v>
      </c>
      <c r="G38" s="1269"/>
      <c r="H38" s="1270"/>
      <c r="I38" s="273">
        <f>VLOOKUP($B38,Activities!$A$10:$S$152,16,FALSE)</f>
        <v>3439.8717452830197</v>
      </c>
      <c r="J38" s="269"/>
      <c r="K38" s="388">
        <f t="shared" si="14"/>
        <v>0</v>
      </c>
      <c r="L38" s="248" t="str">
        <f t="shared" si="15"/>
        <v>0.0%</v>
      </c>
      <c r="M38" s="290" t="str">
        <f>VLOOKUP($B38,Activities!$A$10:$S$152,19,FALSE)</f>
        <v>This activity covers the purchase of general native seed mix</v>
      </c>
      <c r="O38" s="47"/>
      <c r="P38" s="47"/>
      <c r="Q38" s="47"/>
      <c r="R38" s="47"/>
      <c r="S38" s="47"/>
    </row>
    <row r="39" spans="1:19" ht="51.75" customHeight="1" thickBot="1" x14ac:dyDescent="0.3">
      <c r="A39" s="1133"/>
      <c r="B39" s="245" t="s">
        <v>629</v>
      </c>
      <c r="C39" s="259" t="str">
        <f>VLOOKUP($B39,Activities!$A$10:$P$152,3,FALSE)</f>
        <v>The purchase only of local provenance native seed mix</v>
      </c>
      <c r="D39" s="239" t="s">
        <v>49</v>
      </c>
      <c r="E39" s="320"/>
      <c r="F39" s="246" t="str">
        <f>VLOOKUP($B39,Activities!$A$10:$P$152,4,FALSE)</f>
        <v>Ha</v>
      </c>
      <c r="G39" s="1269"/>
      <c r="H39" s="1270"/>
      <c r="I39" s="273">
        <f>VLOOKUP($B39,Activities!$A$10:$S$152,16,FALSE)</f>
        <v>10525.680933962265</v>
      </c>
      <c r="J39" s="269"/>
      <c r="K39" s="388">
        <f t="shared" si="14"/>
        <v>0</v>
      </c>
      <c r="L39" s="248" t="str">
        <f t="shared" si="15"/>
        <v>0.0%</v>
      </c>
      <c r="M39" s="290" t="str">
        <f>VLOOKUP($B39,Activities!$A$10:$S$152,19,FALSE)</f>
        <v>This activity covers the purchase of local provenance native seed mix</v>
      </c>
      <c r="O39" s="47"/>
      <c r="P39" s="47"/>
      <c r="Q39" s="47"/>
      <c r="R39" s="47"/>
      <c r="S39" s="47"/>
    </row>
    <row r="40" spans="1:19" ht="51.75" customHeight="1" thickBot="1" x14ac:dyDescent="0.3">
      <c r="A40" s="1133"/>
      <c r="B40" s="245" t="s">
        <v>630</v>
      </c>
      <c r="C40" s="259" t="str">
        <f>VLOOKUP($B40,Activities!$A$10:$P$152,3,FALSE)</f>
        <v>The purchase only of fertiliser for broadcast application</v>
      </c>
      <c r="D40" s="239" t="s">
        <v>49</v>
      </c>
      <c r="E40" s="320"/>
      <c r="F40" s="246" t="str">
        <f>VLOOKUP($B40,Activities!$A$10:$P$152,4,FALSE)</f>
        <v>Ha</v>
      </c>
      <c r="G40" s="1269"/>
      <c r="H40" s="1270"/>
      <c r="I40" s="273">
        <f>VLOOKUP($B40,Activities!$A$10:$S$152,16,FALSE)</f>
        <v>613.30500000000006</v>
      </c>
      <c r="J40" s="269"/>
      <c r="K40" s="388">
        <f t="shared" si="14"/>
        <v>0</v>
      </c>
      <c r="L40" s="248" t="str">
        <f t="shared" si="15"/>
        <v>0.0%</v>
      </c>
      <c r="M40" s="290" t="str">
        <f>VLOOKUP($B40,Activities!$A$10:$S$152,19,FALSE)</f>
        <v>This activity covers the purchase of local fertiliser for broadcast application.  It does not inlcude the application.</v>
      </c>
      <c r="O40" s="47"/>
      <c r="P40" s="47"/>
      <c r="Q40" s="47"/>
      <c r="R40" s="47"/>
      <c r="S40" s="47"/>
    </row>
    <row r="41" spans="1:19" ht="51.75" customHeight="1" thickBot="1" x14ac:dyDescent="0.3">
      <c r="A41" s="1133"/>
      <c r="B41" s="245" t="s">
        <v>631</v>
      </c>
      <c r="C41" s="259" t="str">
        <f>VLOOKUP($B41,Activities!$A$10:$P$152,3,FALSE)</f>
        <v>The purchase of native tubestock (including slow release fertiliser)</v>
      </c>
      <c r="D41" s="239" t="s">
        <v>49</v>
      </c>
      <c r="E41" s="320"/>
      <c r="F41" s="246" t="str">
        <f>VLOOKUP($B41,Activities!$A$10:$P$152,4,FALSE)</f>
        <v>Ha</v>
      </c>
      <c r="G41" s="1269"/>
      <c r="H41" s="1270"/>
      <c r="I41" s="273">
        <f>VLOOKUP($B41,Activities!$A$10:$S$152,16,FALSE)</f>
        <v>19729.952830188682</v>
      </c>
      <c r="J41" s="269"/>
      <c r="K41" s="388">
        <f t="shared" si="14"/>
        <v>0</v>
      </c>
      <c r="L41" s="248" t="str">
        <f t="shared" si="15"/>
        <v>0.0%</v>
      </c>
      <c r="M41" s="290" t="str">
        <f>VLOOKUP($B41,Activities!$A$10:$S$152,19,FALSE)</f>
        <v>The Activity includes the purchase of native tubestock (including slow release fertiliser).  It does not include planting.</v>
      </c>
      <c r="O41" s="47"/>
      <c r="P41" s="47"/>
      <c r="Q41" s="47"/>
      <c r="R41" s="47"/>
      <c r="S41" s="47"/>
    </row>
    <row r="42" spans="1:19" ht="51.75" customHeight="1" thickBot="1" x14ac:dyDescent="0.3">
      <c r="A42" s="1133"/>
      <c r="B42" s="245" t="s">
        <v>632</v>
      </c>
      <c r="C42" s="259" t="str">
        <f>VLOOKUP($B42,Activities!$A$10:$P$152,3,FALSE)</f>
        <v>Direct seeding along rip line or mechanical broadcast seeding</v>
      </c>
      <c r="D42" s="239" t="s">
        <v>49</v>
      </c>
      <c r="E42" s="320"/>
      <c r="F42" s="246" t="str">
        <f>VLOOKUP($B42,Activities!$A$10:$P$152,4,FALSE)</f>
        <v>Ha</v>
      </c>
      <c r="G42" s="1269"/>
      <c r="H42" s="1270"/>
      <c r="I42" s="273">
        <f>VLOOKUP($B42,Activities!$A$10:$S$152,16,FALSE)</f>
        <v>2100.7838269402318</v>
      </c>
      <c r="J42" s="269"/>
      <c r="K42" s="388">
        <f t="shared" si="14"/>
        <v>0</v>
      </c>
      <c r="L42" s="248" t="str">
        <f t="shared" si="15"/>
        <v>0.0%</v>
      </c>
      <c r="M42" s="290" t="str">
        <f>VLOOKUP($B42,Activities!$A$10:$S$152,19,FALSE)</f>
        <v>Sowing of separately purchased seed and or fertiliser for broadcast application that involves scattering seed, by hand or mechanically, over a relatively large area.</v>
      </c>
      <c r="O42" s="47"/>
      <c r="P42" s="47"/>
      <c r="Q42" s="47"/>
      <c r="R42" s="47"/>
      <c r="S42" s="47"/>
    </row>
    <row r="43" spans="1:19" ht="51.75" customHeight="1" thickBot="1" x14ac:dyDescent="0.3">
      <c r="A43" s="1133"/>
      <c r="B43" s="245" t="s">
        <v>633</v>
      </c>
      <c r="C43" s="259" t="str">
        <f>VLOOKUP($B43,Activities!$A$10:$P$152,3,FALSE)</f>
        <v>Hydromulching (does not include seed or fertiliser)</v>
      </c>
      <c r="D43" s="239" t="s">
        <v>49</v>
      </c>
      <c r="E43" s="240"/>
      <c r="F43" s="246" t="str">
        <f>VLOOKUP($B43,Activities!$A$10:$P$152,4,FALSE)</f>
        <v>Ha</v>
      </c>
      <c r="G43" s="1269"/>
      <c r="H43" s="1270"/>
      <c r="I43" s="273">
        <f>VLOOKUP($B43,Activities!$A$10:$S$152,16,FALSE)</f>
        <v>1583.2664818030244</v>
      </c>
      <c r="J43" s="269"/>
      <c r="K43" s="388">
        <f t="shared" si="14"/>
        <v>0</v>
      </c>
      <c r="L43" s="248" t="str">
        <f t="shared" si="15"/>
        <v>0.0%</v>
      </c>
      <c r="M43" s="290" t="str">
        <f>VLOOKUP($B43,Activities!$A$10:$S$152,19,FALSE)</f>
        <v>Hydromulching planting process that uses a slurry of seed and mulch. It is often used as an erosion control technique as an alternative to the traditional process of broadcasting or sowing dry seed.</v>
      </c>
      <c r="O43" s="47"/>
      <c r="P43" s="47"/>
      <c r="Q43" s="47"/>
      <c r="R43" s="47"/>
      <c r="S43" s="47"/>
    </row>
    <row r="44" spans="1:19" ht="51.75" customHeight="1" thickBot="1" x14ac:dyDescent="0.3">
      <c r="A44" s="1133"/>
      <c r="B44" s="245" t="s">
        <v>717</v>
      </c>
      <c r="C44" s="259" t="str">
        <f>VLOOKUP($B44,Activities!$A$10:$P$152,3,FALSE)</f>
        <v>Planting of tubestock &lt;15cm (assumes 1,000 plants per hectare)</v>
      </c>
      <c r="D44" s="239" t="s">
        <v>49</v>
      </c>
      <c r="E44" s="240"/>
      <c r="F44" s="246" t="str">
        <f>VLOOKUP($B44,Activities!$A$10:$P$152,4,FALSE)</f>
        <v>Ha</v>
      </c>
      <c r="G44" s="1269"/>
      <c r="H44" s="1270"/>
      <c r="I44" s="273">
        <f>VLOOKUP($B44,Activities!$A$10:$S$152,16,FALSE)</f>
        <v>1714.118869047619</v>
      </c>
      <c r="J44" s="269"/>
      <c r="K44" s="388">
        <f t="shared" si="14"/>
        <v>0</v>
      </c>
      <c r="L44" s="248" t="str">
        <f t="shared" si="15"/>
        <v>0.0%</v>
      </c>
      <c r="M44" s="290" t="str">
        <f>VLOOKUP($B44,Activities!$A$10:$S$152,19,FALSE)</f>
        <v>This Activity covers the hand planting of tubestock plants across a broad area.</v>
      </c>
    </row>
    <row r="45" spans="1:19" ht="60.75" thickBot="1" x14ac:dyDescent="0.3">
      <c r="A45" s="1134"/>
      <c r="B45" s="245" t="s">
        <v>25</v>
      </c>
      <c r="C45" s="259" t="str">
        <f>VLOOKUP($B45,Activities!$A$10:$P$152,3,FALSE)</f>
        <v xml:space="preserve">Construction of a stock proof fence including appropriate gates </v>
      </c>
      <c r="D45" s="239" t="s">
        <v>49</v>
      </c>
      <c r="E45" s="320"/>
      <c r="F45" s="246" t="str">
        <f>VLOOKUP($B45,Activities!$A$10:$P$152,4,FALSE)</f>
        <v>km</v>
      </c>
      <c r="G45" s="1269"/>
      <c r="H45" s="1270"/>
      <c r="I45" s="273">
        <f>VLOOKUP($B45,Activities!$A$10:$S$152,16,FALSE)</f>
        <v>13302.992584007126</v>
      </c>
      <c r="J45" s="269"/>
      <c r="K45" s="388">
        <f t="shared" ref="K45" si="16">IF(D45="Y",IF(J45="",I45*E45,J45*E45),0)</f>
        <v>0</v>
      </c>
      <c r="L45" s="248" t="str">
        <f t="shared" ref="L45" si="17">IFERROR(IF(D45="Y",K45/$K$57,0%),"0.0%")</f>
        <v>0.0%</v>
      </c>
      <c r="M45" s="290" t="str">
        <f>VLOOKUP($B45,Activities!$A$10:$S$152,19,FALSE)</f>
        <v>This activity involves the construction of a stock proof fence to protect revegetation against stock and to provide an obstacle to persons to prevent inadvertant access.  It is not designed to prevent a person climbing over it.  It includes an allowance for gates.</v>
      </c>
    </row>
    <row r="46" spans="1:19" ht="16.5" thickBot="1" x14ac:dyDescent="0.3">
      <c r="A46" s="111" t="s">
        <v>53</v>
      </c>
      <c r="B46" s="112" t="str">
        <f>A27</f>
        <v xml:space="preserve">Treatment of Dams to be filled in or removed </v>
      </c>
      <c r="C46" s="103"/>
      <c r="D46" s="24"/>
      <c r="E46" s="25"/>
      <c r="F46" s="24"/>
      <c r="G46" s="309"/>
      <c r="H46" s="309"/>
      <c r="I46" s="26"/>
      <c r="J46" s="27"/>
      <c r="K46" s="28">
        <f>SUM(K27:K45)</f>
        <v>0</v>
      </c>
      <c r="L46" s="24"/>
      <c r="M46" s="43"/>
    </row>
    <row r="47" spans="1:19" ht="84.75" thickBot="1" x14ac:dyDescent="0.3">
      <c r="A47" s="1132" t="s">
        <v>534</v>
      </c>
      <c r="B47" s="102" t="s">
        <v>80</v>
      </c>
      <c r="C47" s="259" t="str">
        <f>VLOOKUP($B47,Activities!$A$10:$P$152,3,FALSE)</f>
        <v>Construction of Water Run-off Management Structures and/or Dams</v>
      </c>
      <c r="D47" s="239" t="s">
        <v>49</v>
      </c>
      <c r="E47" s="320"/>
      <c r="F47" s="246" t="str">
        <f>VLOOKUP($B47,Activities!$A$10:$P$152,4,FALSE)</f>
        <v>Ha</v>
      </c>
      <c r="G47" s="1269"/>
      <c r="H47" s="1270"/>
      <c r="I47" s="273">
        <f>VLOOKUP($B47,Activities!$A$10:$S$152,16,FALSE)</f>
        <v>7806.9613461745139</v>
      </c>
      <c r="J47" s="269"/>
      <c r="K47" s="388">
        <f t="shared" ref="K47:K49" si="18">IF(D47="Y",IF(J47="",I47*E47,J47*E47),0)</f>
        <v>0</v>
      </c>
      <c r="L47" s="248" t="str">
        <f t="shared" ref="L47:L49" si="19">IFERROR(IF(D47="Y",K47/$K$57,0%),"0.0%")</f>
        <v>0.0%</v>
      </c>
      <c r="M47" s="290" t="str">
        <f>VLOOKUP($B47,Activities!$A$10:$S$152,19,FALSE)</f>
        <v>This activity is a general activity and it involves shaping of critical areas, the construction of minor water management drains, rock lining of the drains, dams and diversion channels to manage water run-off from the area. It is based on a rate per hectare (based only on the hectares associated with the run-off management) and includes channel excavation, rock lining and minor dam construction.  (Operator may prefer to better define this activity)</v>
      </c>
    </row>
    <row r="48" spans="1:19" ht="63.75" thickBot="1" x14ac:dyDescent="0.3">
      <c r="A48" s="1133"/>
      <c r="B48" s="102" t="s">
        <v>609</v>
      </c>
      <c r="C48" s="259" t="str">
        <f>VLOOKUP($B48,Activities!$A$10:$P$152,3,FALSE)</f>
        <v>Construction of lined silt traps/evaporation ponds. (Excludes spillway construction and armouring)</v>
      </c>
      <c r="D48" s="239" t="s">
        <v>49</v>
      </c>
      <c r="E48" s="320"/>
      <c r="F48" s="246" t="str">
        <f>VLOOKUP($B48,Activities!$A$10:$P$152,4,FALSE)</f>
        <v>Ha</v>
      </c>
      <c r="G48" s="1269"/>
      <c r="H48" s="1270"/>
      <c r="I48" s="273">
        <f>VLOOKUP($B48,Activities!$A$10:$S$152,16,FALSE)</f>
        <v>48480.070142180484</v>
      </c>
      <c r="J48" s="269"/>
      <c r="K48" s="388">
        <f t="shared" ref="K48" si="20">IF(D48="Y",IF(J48="",I48*E48,J48*E48),0)</f>
        <v>0</v>
      </c>
      <c r="L48" s="248" t="str">
        <f t="shared" ref="L48" si="21">IFERROR(IF(D48="Y",K48/$K$57,0%),"0.0%")</f>
        <v>0.0%</v>
      </c>
      <c r="M48" s="290" t="str">
        <f>VLOOKUP($B48,Activities!$A$10:$S$152,19,FALSE)</f>
        <v>Includes the design and construction of suitable surface water capture structures.  Assumes no overflow - where overflow is designed into the structure, separate spillway construction and armouring costs to be applied.</v>
      </c>
    </row>
    <row r="49" spans="1:13" ht="48.75" thickBot="1" x14ac:dyDescent="0.3">
      <c r="A49" s="1134"/>
      <c r="B49" s="102" t="s">
        <v>338</v>
      </c>
      <c r="C49" s="259" t="str">
        <f>VLOOKUP($B49,Activities!$A$10:$P$152,3,FALSE)</f>
        <v>Construction of inflow and outflow/spillway structures for water storage facilities</v>
      </c>
      <c r="D49" s="239" t="s">
        <v>49</v>
      </c>
      <c r="E49" s="320"/>
      <c r="F49" s="246" t="str">
        <f>VLOOKUP($B49,Activities!$A$10:$P$152,4,FALSE)</f>
        <v>m2</v>
      </c>
      <c r="G49" s="1269"/>
      <c r="H49" s="1270"/>
      <c r="I49" s="273">
        <f>VLOOKUP($B49,Activities!$A$10:$S$152,16,FALSE)</f>
        <v>131.93264502832614</v>
      </c>
      <c r="J49" s="269"/>
      <c r="K49" s="388">
        <f t="shared" si="18"/>
        <v>0</v>
      </c>
      <c r="L49" s="248" t="str">
        <f t="shared" si="19"/>
        <v>0.0%</v>
      </c>
      <c r="M49" s="290" t="str">
        <f>VLOOKUP($B49,Activities!$A$10:$S$152,19,FALSE)</f>
        <v>This activity covers the construction of inflow and outflow/spillway structures to ensure the long term stability of the water storage facilities.  The structures should be in accordance with the engineering design and suitable for the long term.</v>
      </c>
    </row>
    <row r="50" spans="1:13" ht="16.5" thickBot="1" x14ac:dyDescent="0.3">
      <c r="A50" s="21" t="s">
        <v>53</v>
      </c>
      <c r="B50" s="112" t="str">
        <f>A47</f>
        <v>Construction of Silt Traps or Evaporation Ponds</v>
      </c>
      <c r="C50" s="23"/>
      <c r="D50" s="24"/>
      <c r="E50" s="25"/>
      <c r="F50" s="24"/>
      <c r="G50" s="309"/>
      <c r="H50" s="309"/>
      <c r="I50" s="26"/>
      <c r="J50" s="27"/>
      <c r="K50" s="28">
        <f>SUM(K47:K49)</f>
        <v>0</v>
      </c>
      <c r="L50" s="24"/>
      <c r="M50" s="43"/>
    </row>
    <row r="51" spans="1:13" ht="84.75" thickBot="1" x14ac:dyDescent="0.3">
      <c r="A51" s="1361" t="s">
        <v>347</v>
      </c>
      <c r="B51" s="245" t="s">
        <v>451</v>
      </c>
      <c r="C51" s="259" t="str">
        <f>VLOOKUP($B51,Activities!$A$10:$P$152,3,FALSE)</f>
        <v>Construction of Water Diversion Channels/Drains</v>
      </c>
      <c r="D51" s="239" t="s">
        <v>49</v>
      </c>
      <c r="E51" s="320"/>
      <c r="F51" s="246" t="str">
        <f>VLOOKUP($B51,Activities!$A$10:$P$152,4,FALSE)</f>
        <v>lin m</v>
      </c>
      <c r="G51" s="1269"/>
      <c r="H51" s="1270"/>
      <c r="I51" s="272">
        <f>VLOOKUP($B51,Activities!$A$10:$S$152,16,FALSE)</f>
        <v>99.880946449499689</v>
      </c>
      <c r="J51" s="269"/>
      <c r="K51" s="388">
        <f t="shared" ref="K51" si="22">IF(D51="Y",IF(J51="",I51*E51,J51*E51),0)</f>
        <v>0</v>
      </c>
      <c r="L51" s="248" t="str">
        <f t="shared" ref="L51" si="23">IFERROR(IF(D51="Y",K51/$K$57,0%),"0.0%")</f>
        <v>0.0%</v>
      </c>
      <c r="M51" s="290" t="str">
        <f>VLOOKUP($B51,Activities!$A$10:$S$152,19,FALSE)</f>
        <v xml:space="preserve">The activity covers the occasions when it is necessary to construct a diversion channel to either divert water away from an area or to channel water from one area to another.  The assumption is that the level of water flowing through the channel is limited rather than a creek flow or major outflow.  Some allowance has been made for the incorporation of minor rock or velocity limiting structures but not major spillways or energy dissipaters. </v>
      </c>
    </row>
    <row r="52" spans="1:13" ht="46.5" customHeight="1" thickBot="1" x14ac:dyDescent="0.3">
      <c r="A52" s="1361"/>
      <c r="B52" s="37"/>
      <c r="C52" s="218" t="s">
        <v>55</v>
      </c>
      <c r="D52" s="239" t="s">
        <v>52</v>
      </c>
      <c r="E52" s="346"/>
      <c r="F52" s="296"/>
      <c r="G52" s="1160"/>
      <c r="H52" s="1161"/>
      <c r="I52" s="355" t="s">
        <v>475</v>
      </c>
      <c r="J52" s="269"/>
      <c r="K52" s="387" t="str">
        <f>IF(D52="Y",J52*E52,"")</f>
        <v/>
      </c>
      <c r="L52" s="145">
        <f>IFERROR(IF(D52="Y",K52/$K$61,0%),"0.0%")</f>
        <v>0</v>
      </c>
      <c r="M52" s="139" t="s">
        <v>56</v>
      </c>
    </row>
    <row r="53" spans="1:13" ht="46.5" customHeight="1" thickBot="1" x14ac:dyDescent="0.3">
      <c r="A53" s="1361"/>
      <c r="B53" s="37"/>
      <c r="C53" s="218" t="s">
        <v>55</v>
      </c>
      <c r="D53" s="239" t="s">
        <v>52</v>
      </c>
      <c r="E53" s="346"/>
      <c r="F53" s="296"/>
      <c r="G53" s="1160"/>
      <c r="H53" s="1161"/>
      <c r="I53" s="355" t="s">
        <v>475</v>
      </c>
      <c r="J53" s="269"/>
      <c r="K53" s="387" t="str">
        <f>IF(D53="Y",J53*E53,"")</f>
        <v/>
      </c>
      <c r="L53" s="145">
        <f>IFERROR(IF(D53="Y",K53/$K$61,0%),"0.0%")</f>
        <v>0</v>
      </c>
      <c r="M53" s="139" t="s">
        <v>56</v>
      </c>
    </row>
    <row r="54" spans="1:13" ht="46.5" customHeight="1" thickBot="1" x14ac:dyDescent="0.3">
      <c r="A54" s="1361"/>
      <c r="B54" s="37"/>
      <c r="C54" s="218" t="s">
        <v>55</v>
      </c>
      <c r="D54" s="239" t="s">
        <v>52</v>
      </c>
      <c r="E54" s="346"/>
      <c r="F54" s="296"/>
      <c r="G54" s="1160"/>
      <c r="H54" s="1161"/>
      <c r="I54" s="355" t="s">
        <v>475</v>
      </c>
      <c r="J54" s="269"/>
      <c r="K54" s="387" t="str">
        <f>IF(D54="Y",J54*E54,"")</f>
        <v/>
      </c>
      <c r="L54" s="145">
        <f>IFERROR(IF(D54="Y",K54/$K$61,0%),"0.0%")</f>
        <v>0</v>
      </c>
      <c r="M54" s="139" t="s">
        <v>56</v>
      </c>
    </row>
    <row r="55" spans="1:13" ht="15.75" thickBot="1" x14ac:dyDescent="0.3">
      <c r="A55" s="21" t="s">
        <v>53</v>
      </c>
      <c r="B55" s="22" t="str">
        <f>A51</f>
        <v>Water Course Diversions</v>
      </c>
      <c r="C55" s="23"/>
      <c r="D55" s="24"/>
      <c r="E55" s="25"/>
      <c r="F55" s="24"/>
      <c r="G55" s="308"/>
      <c r="H55" s="308"/>
      <c r="I55" s="26"/>
      <c r="J55" s="306"/>
      <c r="K55" s="28">
        <f>SUM(K51:K54)</f>
        <v>0</v>
      </c>
      <c r="L55" s="24"/>
      <c r="M55" s="29"/>
    </row>
    <row r="56" spans="1:13" ht="51.75" customHeight="1" thickBot="1" x14ac:dyDescent="0.3">
      <c r="A56" s="1361" t="s">
        <v>75</v>
      </c>
      <c r="B56" s="37"/>
      <c r="C56" s="218" t="s">
        <v>55</v>
      </c>
      <c r="D56" s="239" t="s">
        <v>52</v>
      </c>
      <c r="E56" s="346"/>
      <c r="F56" s="296"/>
      <c r="G56" s="1160"/>
      <c r="H56" s="1161"/>
      <c r="I56" s="355" t="s">
        <v>475</v>
      </c>
      <c r="J56" s="269"/>
      <c r="K56" s="387" t="str">
        <f>IF(D56="Y",J56*E56,"")</f>
        <v/>
      </c>
      <c r="L56" s="145">
        <f>IFERROR(IF(D56="Y",K56/$K$61,0%),"0.0%")</f>
        <v>0</v>
      </c>
      <c r="M56" s="139" t="s">
        <v>56</v>
      </c>
    </row>
    <row r="57" spans="1:13" ht="51.75" customHeight="1" thickBot="1" x14ac:dyDescent="0.3">
      <c r="A57" s="1361"/>
      <c r="B57" s="37"/>
      <c r="C57" s="218" t="s">
        <v>55</v>
      </c>
      <c r="D57" s="239" t="s">
        <v>52</v>
      </c>
      <c r="E57" s="346"/>
      <c r="F57" s="296"/>
      <c r="G57" s="1160"/>
      <c r="H57" s="1161"/>
      <c r="I57" s="355" t="s">
        <v>475</v>
      </c>
      <c r="J57" s="269"/>
      <c r="K57" s="387" t="str">
        <f>IF(D57="Y",J57*E57,"")</f>
        <v/>
      </c>
      <c r="L57" s="145">
        <f>IFERROR(IF(D57="Y",K57/$K$61,0%),"0.0%")</f>
        <v>0</v>
      </c>
      <c r="M57" s="139" t="s">
        <v>56</v>
      </c>
    </row>
    <row r="58" spans="1:13" ht="51.75" customHeight="1" thickBot="1" x14ac:dyDescent="0.3">
      <c r="A58" s="1361"/>
      <c r="B58" s="37"/>
      <c r="C58" s="218" t="s">
        <v>55</v>
      </c>
      <c r="D58" s="239" t="s">
        <v>52</v>
      </c>
      <c r="E58" s="346"/>
      <c r="F58" s="296"/>
      <c r="G58" s="1160"/>
      <c r="H58" s="1161"/>
      <c r="I58" s="355" t="s">
        <v>475</v>
      </c>
      <c r="J58" s="269"/>
      <c r="K58" s="387" t="str">
        <f>IF(D58="Y",J58*E58,"")</f>
        <v/>
      </c>
      <c r="L58" s="145">
        <f>IFERROR(IF(D58="Y",K58/$K$61,0%),"0.0%")</f>
        <v>0</v>
      </c>
      <c r="M58" s="139" t="s">
        <v>56</v>
      </c>
    </row>
    <row r="59" spans="1:13" ht="15.75" thickBot="1" x14ac:dyDescent="0.3">
      <c r="A59" s="21" t="s">
        <v>53</v>
      </c>
      <c r="B59" s="22" t="str">
        <f>A56</f>
        <v>Other Activity in Waste Dump Area</v>
      </c>
      <c r="C59" s="23"/>
      <c r="D59" s="24"/>
      <c r="E59" s="25"/>
      <c r="F59" s="24"/>
      <c r="G59" s="24"/>
      <c r="H59" s="24"/>
      <c r="I59" s="26"/>
      <c r="J59" s="27"/>
      <c r="K59" s="28">
        <f>SUM(K56:K58)</f>
        <v>0</v>
      </c>
      <c r="L59" s="24"/>
      <c r="M59" s="29"/>
    </row>
    <row r="60" spans="1:13" x14ac:dyDescent="0.25">
      <c r="A60" s="3"/>
      <c r="B60" s="3"/>
      <c r="C60" s="30"/>
      <c r="D60" s="9"/>
      <c r="E60" s="31"/>
      <c r="F60" s="9"/>
      <c r="G60" s="9"/>
      <c r="H60" s="9"/>
      <c r="I60" s="32"/>
      <c r="J60" s="2"/>
      <c r="K60" s="77"/>
      <c r="L60" s="9"/>
      <c r="M60" s="30"/>
    </row>
    <row r="61" spans="1:13" ht="21" x14ac:dyDescent="0.25">
      <c r="A61" s="3"/>
      <c r="B61" s="3"/>
      <c r="C61" s="30"/>
      <c r="D61" s="9"/>
      <c r="E61" s="31"/>
      <c r="F61" s="9"/>
      <c r="G61" s="9"/>
      <c r="H61" s="9"/>
      <c r="J61" s="34" t="s">
        <v>1260</v>
      </c>
      <c r="K61" s="53">
        <f>K59+K50+K46+K26+K55</f>
        <v>0</v>
      </c>
      <c r="L61" s="9"/>
      <c r="M61" s="30"/>
    </row>
    <row r="62" spans="1:13" x14ac:dyDescent="0.25">
      <c r="A62" s="3"/>
      <c r="B62" s="3"/>
      <c r="C62" s="30"/>
      <c r="D62" s="9"/>
      <c r="E62" s="31"/>
      <c r="F62" s="9"/>
      <c r="G62" s="9"/>
      <c r="H62" s="9"/>
      <c r="I62" s="32"/>
      <c r="J62" s="2"/>
      <c r="K62" s="77"/>
      <c r="L62" s="9"/>
      <c r="M62" s="30"/>
    </row>
    <row r="63" spans="1:13" x14ac:dyDescent="0.25">
      <c r="A63" s="3"/>
      <c r="B63" s="3"/>
      <c r="C63" s="30"/>
      <c r="D63" s="9"/>
      <c r="E63" s="31"/>
      <c r="F63" s="9"/>
      <c r="G63" s="9"/>
      <c r="H63" s="9"/>
      <c r="I63" s="32"/>
      <c r="J63" s="2"/>
      <c r="K63" s="77"/>
      <c r="L63" s="9"/>
      <c r="M63" s="30"/>
    </row>
    <row r="64" spans="1:13" x14ac:dyDescent="0.25">
      <c r="A64" s="3"/>
      <c r="B64" s="3"/>
      <c r="C64" s="30"/>
      <c r="D64" s="9"/>
      <c r="E64" s="31"/>
      <c r="F64" s="9"/>
      <c r="G64" s="9"/>
      <c r="H64" s="9"/>
      <c r="I64" s="32"/>
      <c r="J64" s="2"/>
      <c r="K64" s="77"/>
      <c r="L64" s="9"/>
      <c r="M64" s="30"/>
    </row>
    <row r="65" spans="1:13" x14ac:dyDescent="0.25">
      <c r="A65" s="3"/>
      <c r="B65" s="3"/>
      <c r="C65" s="30"/>
      <c r="D65" s="9"/>
      <c r="E65" s="31"/>
      <c r="F65" s="9"/>
      <c r="G65" s="9"/>
      <c r="H65" s="9"/>
      <c r="I65" s="32"/>
      <c r="J65" s="2"/>
      <c r="K65" s="77"/>
      <c r="L65" s="9"/>
      <c r="M65" s="30"/>
    </row>
    <row r="66" spans="1:13" x14ac:dyDescent="0.25">
      <c r="A66" s="3"/>
      <c r="B66" s="3"/>
      <c r="C66" s="30"/>
      <c r="D66" s="9"/>
      <c r="E66" s="31"/>
      <c r="F66" s="9"/>
      <c r="G66" s="9"/>
      <c r="H66" s="9"/>
      <c r="I66" s="32"/>
      <c r="J66" s="2"/>
      <c r="K66" s="77"/>
      <c r="L66" s="9"/>
      <c r="M66" s="30"/>
    </row>
    <row r="67" spans="1:13" x14ac:dyDescent="0.25">
      <c r="A67" s="3"/>
      <c r="B67" s="3"/>
      <c r="C67" s="30"/>
      <c r="D67" s="9"/>
      <c r="E67" s="31"/>
      <c r="F67" s="9"/>
      <c r="G67" s="9"/>
      <c r="H67" s="9"/>
      <c r="I67" s="32"/>
      <c r="J67" s="2"/>
      <c r="K67" s="77"/>
      <c r="L67" s="9"/>
      <c r="M67" s="30"/>
    </row>
    <row r="68" spans="1:13" x14ac:dyDescent="0.25">
      <c r="A68" s="3"/>
      <c r="B68" s="3"/>
      <c r="C68" s="30"/>
      <c r="D68" s="9"/>
      <c r="E68" s="31"/>
      <c r="F68" s="9"/>
      <c r="G68" s="9"/>
      <c r="H68" s="9"/>
      <c r="I68" s="32"/>
      <c r="J68" s="2"/>
      <c r="K68" s="77"/>
      <c r="L68" s="9"/>
      <c r="M68" s="30"/>
    </row>
    <row r="69" spans="1:13" x14ac:dyDescent="0.25">
      <c r="A69" s="3"/>
      <c r="B69" s="3"/>
      <c r="C69" s="30"/>
      <c r="D69" s="9"/>
      <c r="E69" s="31"/>
      <c r="F69" s="9"/>
      <c r="G69" s="9"/>
      <c r="H69" s="9"/>
      <c r="I69" s="32"/>
      <c r="J69" s="2"/>
      <c r="K69" s="77"/>
      <c r="L69" s="9"/>
      <c r="M69" s="30"/>
    </row>
    <row r="70" spans="1:13" x14ac:dyDescent="0.25">
      <c r="A70" s="3"/>
      <c r="B70" s="3"/>
      <c r="C70" s="30"/>
      <c r="D70" s="9"/>
      <c r="E70" s="31"/>
      <c r="F70" s="9"/>
      <c r="G70" s="9"/>
      <c r="H70" s="9"/>
      <c r="I70" s="32"/>
      <c r="J70" s="2"/>
      <c r="K70" s="77"/>
      <c r="L70" s="9"/>
      <c r="M70" s="30"/>
    </row>
    <row r="71" spans="1:13" x14ac:dyDescent="0.25">
      <c r="A71" s="3"/>
      <c r="B71" s="3"/>
      <c r="C71" s="30"/>
      <c r="D71" s="9"/>
      <c r="E71" s="31"/>
      <c r="F71" s="9"/>
      <c r="G71" s="9"/>
      <c r="H71" s="9"/>
      <c r="I71" s="32"/>
      <c r="J71" s="2"/>
      <c r="K71" s="77"/>
      <c r="L71" s="9"/>
      <c r="M71" s="30"/>
    </row>
    <row r="72" spans="1:13" x14ac:dyDescent="0.25">
      <c r="A72" s="3"/>
      <c r="B72" s="3"/>
      <c r="C72" s="30"/>
      <c r="D72" s="9"/>
      <c r="E72" s="31"/>
      <c r="F72" s="9"/>
      <c r="G72" s="9"/>
      <c r="H72" s="9"/>
      <c r="I72" s="32"/>
      <c r="J72" s="2"/>
      <c r="K72" s="77"/>
      <c r="L72" s="9"/>
      <c r="M72" s="30"/>
    </row>
    <row r="73" spans="1:13" x14ac:dyDescent="0.25">
      <c r="A73" s="3"/>
      <c r="B73" s="3"/>
      <c r="C73" s="30"/>
      <c r="D73" s="9"/>
      <c r="E73" s="9"/>
      <c r="F73" s="9"/>
      <c r="G73" s="9"/>
      <c r="H73" s="9"/>
      <c r="I73" s="32"/>
      <c r="J73" s="2"/>
      <c r="K73" s="77"/>
      <c r="L73" s="9"/>
      <c r="M73" s="30"/>
    </row>
    <row r="74" spans="1:13" x14ac:dyDescent="0.25">
      <c r="A74" s="3"/>
      <c r="B74" s="3"/>
      <c r="C74" s="30"/>
      <c r="D74" s="9"/>
      <c r="E74" s="9"/>
      <c r="F74" s="9"/>
      <c r="G74" s="9"/>
      <c r="H74" s="9"/>
      <c r="I74" s="32"/>
      <c r="J74" s="2"/>
      <c r="K74" s="77"/>
      <c r="L74" s="9"/>
      <c r="M74" s="30"/>
    </row>
    <row r="75" spans="1:13" x14ac:dyDescent="0.25">
      <c r="C75" s="30"/>
      <c r="D75" s="9"/>
      <c r="E75" s="9"/>
      <c r="F75" s="9"/>
      <c r="G75" s="9"/>
      <c r="H75" s="9"/>
      <c r="I75" s="32"/>
      <c r="J75" s="2"/>
      <c r="K75" s="9"/>
      <c r="L75" s="9"/>
      <c r="M75" s="30"/>
    </row>
    <row r="76" spans="1:13" x14ac:dyDescent="0.25">
      <c r="C76" s="30"/>
      <c r="D76" s="9"/>
      <c r="E76" s="9"/>
      <c r="F76" s="9"/>
      <c r="G76" s="9"/>
      <c r="H76" s="9"/>
      <c r="I76" s="32"/>
      <c r="J76" s="2"/>
      <c r="K76" s="9"/>
      <c r="L76" s="9"/>
      <c r="M76" s="30"/>
    </row>
    <row r="77" spans="1:13" x14ac:dyDescent="0.25">
      <c r="C77" s="30"/>
      <c r="D77" s="9"/>
      <c r="E77" s="9"/>
      <c r="F77" s="9"/>
      <c r="G77" s="9"/>
      <c r="H77" s="9"/>
      <c r="I77" s="9"/>
      <c r="J77" s="9"/>
      <c r="K77" s="9"/>
      <c r="L77" s="9"/>
      <c r="M77" s="30"/>
    </row>
    <row r="78" spans="1:13" x14ac:dyDescent="0.25">
      <c r="D78" s="9"/>
      <c r="E78" s="9"/>
      <c r="F78" s="9"/>
      <c r="G78" s="9"/>
      <c r="H78" s="9"/>
      <c r="I78" s="9"/>
      <c r="J78" s="9"/>
      <c r="K78" s="9"/>
      <c r="L78" s="9"/>
    </row>
    <row r="79" spans="1:13" x14ac:dyDescent="0.25">
      <c r="D79" s="9"/>
      <c r="E79" s="9"/>
      <c r="F79" s="9"/>
      <c r="G79" s="9"/>
      <c r="H79" s="9"/>
      <c r="I79" s="9"/>
      <c r="J79" s="9"/>
      <c r="K79" s="9"/>
      <c r="L79" s="9"/>
    </row>
    <row r="80" spans="1:13" x14ac:dyDescent="0.25">
      <c r="D80" s="9"/>
      <c r="E80" s="9"/>
      <c r="F80" s="9"/>
      <c r="G80" s="9"/>
      <c r="H80" s="9"/>
      <c r="I80" s="9"/>
      <c r="J80" s="9"/>
      <c r="K80" s="9"/>
      <c r="L80" s="9"/>
    </row>
    <row r="81" spans="4:12" x14ac:dyDescent="0.25">
      <c r="D81" s="9"/>
      <c r="E81" s="9"/>
      <c r="F81" s="9"/>
      <c r="G81" s="9"/>
      <c r="H81" s="9"/>
      <c r="I81" s="9"/>
      <c r="J81" s="9"/>
      <c r="K81" s="9"/>
      <c r="L81" s="9"/>
    </row>
    <row r="82" spans="4:12" x14ac:dyDescent="0.25">
      <c r="D82" s="9"/>
      <c r="E82" s="9"/>
      <c r="F82" s="9"/>
      <c r="G82" s="9"/>
      <c r="H82" s="9"/>
      <c r="I82" s="9"/>
      <c r="J82" s="9"/>
      <c r="K82" s="9"/>
      <c r="L82" s="9"/>
    </row>
    <row r="83" spans="4:12" x14ac:dyDescent="0.25">
      <c r="D83" s="9"/>
      <c r="E83" s="9"/>
      <c r="F83" s="9"/>
      <c r="G83" s="9"/>
      <c r="H83" s="9"/>
      <c r="I83" s="9"/>
      <c r="J83" s="9"/>
      <c r="K83" s="9"/>
      <c r="L83" s="9"/>
    </row>
    <row r="84" spans="4:12" x14ac:dyDescent="0.25">
      <c r="D84" s="9"/>
      <c r="E84" s="9"/>
      <c r="F84" s="9"/>
      <c r="G84" s="9"/>
      <c r="H84" s="9"/>
      <c r="I84" s="9"/>
      <c r="J84" s="9"/>
      <c r="K84" s="9"/>
      <c r="L84" s="9"/>
    </row>
    <row r="85" spans="4:12" x14ac:dyDescent="0.25">
      <c r="D85" s="9"/>
      <c r="E85" s="9"/>
      <c r="F85" s="9"/>
      <c r="G85" s="9"/>
      <c r="H85" s="9"/>
      <c r="I85" s="9"/>
      <c r="J85" s="9"/>
      <c r="K85" s="9"/>
      <c r="L85" s="9"/>
    </row>
    <row r="86" spans="4:12" x14ac:dyDescent="0.25">
      <c r="D86" s="9"/>
      <c r="E86" s="9"/>
      <c r="F86" s="9"/>
      <c r="G86" s="9"/>
      <c r="H86" s="9"/>
      <c r="I86" s="9"/>
      <c r="J86" s="9"/>
      <c r="K86" s="9"/>
      <c r="L86" s="9"/>
    </row>
    <row r="87" spans="4:12" x14ac:dyDescent="0.25">
      <c r="D87" s="9"/>
      <c r="E87" s="9"/>
      <c r="F87" s="9"/>
      <c r="G87" s="9"/>
      <c r="H87" s="9"/>
      <c r="I87" s="9"/>
      <c r="J87" s="9"/>
      <c r="K87" s="9"/>
      <c r="L87" s="9"/>
    </row>
    <row r="88" spans="4:12" x14ac:dyDescent="0.25">
      <c r="D88" s="9"/>
      <c r="E88" s="9"/>
      <c r="F88" s="9"/>
      <c r="G88" s="9"/>
      <c r="H88" s="9"/>
      <c r="I88" s="9"/>
      <c r="J88" s="9"/>
      <c r="K88" s="9"/>
      <c r="L88" s="9"/>
    </row>
    <row r="89" spans="4:12" x14ac:dyDescent="0.25">
      <c r="D89" s="9"/>
      <c r="E89" s="9"/>
      <c r="F89" s="9"/>
      <c r="G89" s="9"/>
      <c r="H89" s="9"/>
      <c r="I89" s="9"/>
      <c r="J89" s="9"/>
      <c r="K89" s="9"/>
      <c r="L89" s="9"/>
    </row>
  </sheetData>
  <sheetProtection algorithmName="SHA-512" hashValue="kauOOQj5V+fdk3phtsJI0HEm11ryuFYFC/j7ZfXVffIQUcPM1o8I0Ule3/IFskLKYxMlklExe06W2fH1lQQcAg==" saltValue="Hi+vP29DyioaJVW8gZEzEA==" spinCount="100000" sheet="1" formatCells="0" formatRows="0" selectLockedCells="1"/>
  <dataConsolidate/>
  <mergeCells count="61">
    <mergeCell ref="G48:H48"/>
    <mergeCell ref="G5:J5"/>
    <mergeCell ref="C15:E15"/>
    <mergeCell ref="A1:B1"/>
    <mergeCell ref="G57:H57"/>
    <mergeCell ref="G51:H51"/>
    <mergeCell ref="G52:H52"/>
    <mergeCell ref="G33:H33"/>
    <mergeCell ref="G53:H53"/>
    <mergeCell ref="G56:H56"/>
    <mergeCell ref="G45:H45"/>
    <mergeCell ref="G42:H42"/>
    <mergeCell ref="G30:H30"/>
    <mergeCell ref="G25:H25"/>
    <mergeCell ref="A56:A58"/>
    <mergeCell ref="A51:A54"/>
    <mergeCell ref="G21:H21"/>
    <mergeCell ref="A22:A25"/>
    <mergeCell ref="A16:E19"/>
    <mergeCell ref="B12:E12"/>
    <mergeCell ref="G35:H35"/>
    <mergeCell ref="G22:H22"/>
    <mergeCell ref="G23:H23"/>
    <mergeCell ref="L20:M20"/>
    <mergeCell ref="G8:M19"/>
    <mergeCell ref="B9:E9"/>
    <mergeCell ref="B10:E10"/>
    <mergeCell ref="B11:E11"/>
    <mergeCell ref="A14:B14"/>
    <mergeCell ref="G43:H43"/>
    <mergeCell ref="G27:H27"/>
    <mergeCell ref="G58:H58"/>
    <mergeCell ref="A15:B15"/>
    <mergeCell ref="C1:E1"/>
    <mergeCell ref="G47:H47"/>
    <mergeCell ref="G54:H54"/>
    <mergeCell ref="A47:A49"/>
    <mergeCell ref="G49:H49"/>
    <mergeCell ref="G44:H44"/>
    <mergeCell ref="G29:H29"/>
    <mergeCell ref="A27:A45"/>
    <mergeCell ref="G36:H36"/>
    <mergeCell ref="G37:H37"/>
    <mergeCell ref="G38:H38"/>
    <mergeCell ref="G39:H39"/>
    <mergeCell ref="G40:H40"/>
    <mergeCell ref="G41:H41"/>
    <mergeCell ref="C2:E2"/>
    <mergeCell ref="G28:H28"/>
    <mergeCell ref="R1:V1"/>
    <mergeCell ref="R8:V8"/>
    <mergeCell ref="R16:V16"/>
    <mergeCell ref="C14:E14"/>
    <mergeCell ref="K1:L1"/>
    <mergeCell ref="C3:E3"/>
    <mergeCell ref="F1:J3"/>
    <mergeCell ref="G24:H24"/>
    <mergeCell ref="G6:M7"/>
    <mergeCell ref="B7:E7"/>
    <mergeCell ref="B8:E8"/>
    <mergeCell ref="A5:E6"/>
  </mergeCells>
  <dataValidations count="3">
    <dataValidation type="list" allowBlank="1" showInputMessage="1" showErrorMessage="1" sqref="H31" xr:uid="{00000000-0002-0000-1C00-000000000000}">
      <formula1>$U$3:$U$7</formula1>
    </dataValidation>
    <dataValidation type="list" allowBlank="1" showInputMessage="1" showErrorMessage="1" sqref="H34" xr:uid="{00000000-0002-0000-1C00-000001000000}">
      <formula1>$U$18:$U$22</formula1>
    </dataValidation>
    <dataValidation type="list" allowBlank="1" showInputMessage="1" showErrorMessage="1" sqref="H32" xr:uid="{00000000-0002-0000-1C00-000002000000}">
      <formula1>$U$10:$U$14</formula1>
    </dataValidation>
  </dataValidations>
  <pageMargins left="0.70866141732283472" right="0.70866141732283472" top="0.74803149606299213" bottom="0.74803149606299213" header="0.31496062992125984" footer="0.31496062992125984"/>
  <pageSetup paperSize="9" scale="52" fitToHeight="3" orientation="landscape" r:id="rId1"/>
  <headerFooter>
    <oddHeader>&amp;LDepartment for Energy and Mining&amp;C&amp;"Arial"&amp;12&amp;KA80000 OFFICIAL&amp;1#_x000D_</oddHeader>
    <oddFooter>&amp;L&amp;Z
&amp;F&amp;C&amp;P&amp;R&amp;D</oddFooter>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pageSetUpPr fitToPage="1"/>
  </sheetPr>
  <dimension ref="A1:V62"/>
  <sheetViews>
    <sheetView showGridLines="0" zoomScale="90" zoomScaleNormal="90" workbookViewId="0">
      <selection activeCell="E23" sqref="E23"/>
    </sheetView>
  </sheetViews>
  <sheetFormatPr defaultRowHeight="15" x14ac:dyDescent="0.25"/>
  <cols>
    <col min="1" max="1" width="21" customWidth="1"/>
    <col min="2" max="2" width="11.5703125" customWidth="1"/>
    <col min="3" max="3" width="37.7109375" customWidth="1"/>
    <col min="4" max="4" width="13.5703125" customWidth="1"/>
    <col min="5" max="5" width="11" customWidth="1"/>
    <col min="7" max="7" width="21.5703125" customWidth="1"/>
    <col min="8" max="8" width="15" customWidth="1"/>
    <col min="9" max="9" width="12.28515625" customWidth="1"/>
    <col min="10" max="10" width="12.140625" customWidth="1"/>
    <col min="11" max="11" width="14.42578125" customWidth="1"/>
    <col min="12" max="12" width="13.5703125" customWidth="1"/>
    <col min="13" max="13" width="55.140625" customWidth="1"/>
    <col min="18" max="22" width="12.42578125" customWidth="1"/>
  </cols>
  <sheetData>
    <row r="1" spans="1:13" ht="44.25" customHeight="1" x14ac:dyDescent="0.25">
      <c r="A1" s="1405" t="s">
        <v>900</v>
      </c>
      <c r="B1" s="1406"/>
      <c r="C1" s="1407" t="s">
        <v>906</v>
      </c>
      <c r="D1" s="1408"/>
      <c r="E1" s="1409"/>
      <c r="F1" s="1410" t="s">
        <v>1051</v>
      </c>
      <c r="G1" s="1411"/>
      <c r="H1" s="1411"/>
      <c r="I1" s="1411"/>
      <c r="J1" s="1412"/>
      <c r="K1" s="1295" t="s">
        <v>460</v>
      </c>
      <c r="L1" s="1295"/>
      <c r="M1" s="404"/>
    </row>
    <row r="2" spans="1:13" ht="21" x14ac:dyDescent="0.35">
      <c r="A2" s="368" t="s">
        <v>461</v>
      </c>
      <c r="B2" s="325">
        <v>14</v>
      </c>
      <c r="C2" s="1296" t="str">
        <f>'Summary Page'!E19</f>
        <v/>
      </c>
      <c r="D2" s="1297"/>
      <c r="E2" s="1348"/>
      <c r="F2" s="1413"/>
      <c r="G2" s="1414"/>
      <c r="H2" s="1414"/>
      <c r="I2" s="1414"/>
      <c r="J2" s="1415"/>
      <c r="K2" s="326"/>
      <c r="L2" s="327" t="s">
        <v>152</v>
      </c>
      <c r="M2" s="328">
        <f>K34</f>
        <v>0</v>
      </c>
    </row>
    <row r="3" spans="1:13" ht="18.75" customHeight="1" x14ac:dyDescent="0.25">
      <c r="A3" s="329" t="s">
        <v>267</v>
      </c>
      <c r="B3" s="330">
        <f>'Version Control'!B50</f>
        <v>7</v>
      </c>
      <c r="C3" s="1356"/>
      <c r="D3" s="1357"/>
      <c r="E3" s="1358"/>
      <c r="F3" s="1416"/>
      <c r="G3" s="1417"/>
      <c r="H3" s="1417"/>
      <c r="I3" s="1417"/>
      <c r="J3" s="1418"/>
      <c r="K3" s="331"/>
      <c r="L3" s="332" t="s">
        <v>462</v>
      </c>
      <c r="M3" s="333">
        <f>'Summary Page'!J73</f>
        <v>0</v>
      </c>
    </row>
    <row r="4" spans="1:13" ht="21" x14ac:dyDescent="0.25">
      <c r="A4" s="334" t="s">
        <v>463</v>
      </c>
      <c r="B4" s="335">
        <f>'Version Control'!A50</f>
        <v>45531</v>
      </c>
      <c r="C4" s="233"/>
      <c r="D4" s="233"/>
      <c r="E4" s="233"/>
      <c r="F4" s="233"/>
      <c r="G4" s="233"/>
      <c r="H4" s="233"/>
      <c r="I4" s="233"/>
      <c r="J4" s="233"/>
      <c r="K4" s="294"/>
      <c r="L4" s="336" t="s">
        <v>464</v>
      </c>
      <c r="M4" s="337" t="e">
        <f>M2/M3</f>
        <v>#DIV/0!</v>
      </c>
    </row>
    <row r="5" spans="1:13" ht="23.25" x14ac:dyDescent="0.25">
      <c r="A5" s="1349" t="s">
        <v>465</v>
      </c>
      <c r="B5" s="1298"/>
      <c r="C5" s="1298"/>
      <c r="D5" s="1298"/>
      <c r="E5" s="1299"/>
      <c r="F5" s="233"/>
      <c r="G5" s="1302" t="s">
        <v>466</v>
      </c>
      <c r="H5" s="1303"/>
      <c r="I5" s="1303"/>
      <c r="J5" s="1304"/>
      <c r="K5" s="233"/>
      <c r="L5" s="233"/>
      <c r="M5" s="233"/>
    </row>
    <row r="6" spans="1:13" ht="15" customHeight="1" x14ac:dyDescent="0.25">
      <c r="A6" s="1350"/>
      <c r="B6" s="1351"/>
      <c r="C6" s="1351"/>
      <c r="D6" s="1351"/>
      <c r="E6" s="1352"/>
      <c r="F6" s="299"/>
      <c r="G6" s="1305" t="s">
        <v>484</v>
      </c>
      <c r="H6" s="1306"/>
      <c r="I6" s="1306"/>
      <c r="J6" s="1306"/>
      <c r="K6" s="1306"/>
      <c r="L6" s="1306"/>
      <c r="M6" s="1307"/>
    </row>
    <row r="7" spans="1:13" ht="16.5" customHeight="1" x14ac:dyDescent="0.25">
      <c r="A7" s="348">
        <v>1</v>
      </c>
      <c r="B7" s="1396" t="s">
        <v>902</v>
      </c>
      <c r="C7" s="1397"/>
      <c r="D7" s="1397"/>
      <c r="E7" s="1398"/>
      <c r="F7" s="339"/>
      <c r="G7" s="1308"/>
      <c r="H7" s="1309"/>
      <c r="I7" s="1309"/>
      <c r="J7" s="1309"/>
      <c r="K7" s="1309"/>
      <c r="L7" s="1309"/>
      <c r="M7" s="1310"/>
    </row>
    <row r="8" spans="1:13" ht="18.75" customHeight="1" x14ac:dyDescent="0.25">
      <c r="A8" s="297">
        <v>2</v>
      </c>
      <c r="B8" s="1399" t="s">
        <v>901</v>
      </c>
      <c r="C8" s="1400"/>
      <c r="D8" s="1400"/>
      <c r="E8" s="1401"/>
      <c r="F8" s="339"/>
      <c r="G8" s="1137"/>
      <c r="H8" s="1138"/>
      <c r="I8" s="1138"/>
      <c r="J8" s="1138"/>
      <c r="K8" s="1138"/>
      <c r="L8" s="1138"/>
      <c r="M8" s="1139"/>
    </row>
    <row r="9" spans="1:13" ht="26.25" customHeight="1" x14ac:dyDescent="0.25">
      <c r="A9" s="297">
        <v>3</v>
      </c>
      <c r="B9" s="1402"/>
      <c r="C9" s="1403"/>
      <c r="D9" s="1403"/>
      <c r="E9" s="1404"/>
      <c r="F9" s="339"/>
      <c r="G9" s="1140"/>
      <c r="H9" s="1329"/>
      <c r="I9" s="1329"/>
      <c r="J9" s="1329"/>
      <c r="K9" s="1329"/>
      <c r="L9" s="1329"/>
      <c r="M9" s="1142"/>
    </row>
    <row r="10" spans="1:13" ht="15" customHeight="1" x14ac:dyDescent="0.25">
      <c r="A10" s="297">
        <v>4</v>
      </c>
      <c r="B10" s="1327"/>
      <c r="C10" s="1327"/>
      <c r="D10" s="1327"/>
      <c r="E10" s="1328"/>
      <c r="F10" s="339"/>
      <c r="G10" s="1140"/>
      <c r="H10" s="1329"/>
      <c r="I10" s="1329"/>
      <c r="J10" s="1329"/>
      <c r="K10" s="1329"/>
      <c r="L10" s="1329"/>
      <c r="M10" s="1142"/>
    </row>
    <row r="11" spans="1:13" x14ac:dyDescent="0.25">
      <c r="A11" s="297">
        <v>5</v>
      </c>
      <c r="B11" s="1330"/>
      <c r="C11" s="1331"/>
      <c r="D11" s="1331"/>
      <c r="E11" s="1332"/>
      <c r="F11" s="339"/>
      <c r="G11" s="1140"/>
      <c r="H11" s="1329"/>
      <c r="I11" s="1329"/>
      <c r="J11" s="1329"/>
      <c r="K11" s="1329"/>
      <c r="L11" s="1329"/>
      <c r="M11" s="1142"/>
    </row>
    <row r="12" spans="1:13" x14ac:dyDescent="0.25">
      <c r="A12" s="305">
        <v>6</v>
      </c>
      <c r="B12" s="1282"/>
      <c r="C12" s="1282"/>
      <c r="D12" s="1282"/>
      <c r="E12" s="1283"/>
      <c r="F12" s="233"/>
      <c r="G12" s="1140"/>
      <c r="H12" s="1329"/>
      <c r="I12" s="1329"/>
      <c r="J12" s="1329"/>
      <c r="K12" s="1329"/>
      <c r="L12" s="1329"/>
      <c r="M12" s="1142"/>
    </row>
    <row r="13" spans="1:13" x14ac:dyDescent="0.25">
      <c r="A13" s="340" t="s">
        <v>34</v>
      </c>
      <c r="B13" s="233"/>
      <c r="C13" s="233"/>
      <c r="D13" s="233"/>
      <c r="E13" s="233"/>
      <c r="F13" s="233"/>
      <c r="G13" s="1140"/>
      <c r="H13" s="1329"/>
      <c r="I13" s="1329"/>
      <c r="J13" s="1329"/>
      <c r="K13" s="1329"/>
      <c r="L13" s="1329"/>
      <c r="M13" s="1142"/>
    </row>
    <row r="14" spans="1:13" x14ac:dyDescent="0.25">
      <c r="A14" s="1276"/>
      <c r="B14" s="1277"/>
      <c r="C14" s="1278" t="s">
        <v>352</v>
      </c>
      <c r="D14" s="1278"/>
      <c r="E14" s="1279"/>
      <c r="F14" s="233"/>
      <c r="G14" s="1140"/>
      <c r="H14" s="1329"/>
      <c r="I14" s="1329"/>
      <c r="J14" s="1329"/>
      <c r="K14" s="1329"/>
      <c r="L14" s="1329"/>
      <c r="M14" s="1142"/>
    </row>
    <row r="15" spans="1:13" x14ac:dyDescent="0.25">
      <c r="A15" s="1201"/>
      <c r="B15" s="1202"/>
      <c r="C15" s="1280" t="s">
        <v>467</v>
      </c>
      <c r="D15" s="1280"/>
      <c r="E15" s="1281"/>
      <c r="F15" s="233"/>
      <c r="G15" s="1140"/>
      <c r="H15" s="1329"/>
      <c r="I15" s="1329"/>
      <c r="J15" s="1329"/>
      <c r="K15" s="1329"/>
      <c r="L15" s="1329"/>
      <c r="M15" s="1142"/>
    </row>
    <row r="16" spans="1:13" ht="15" customHeight="1" x14ac:dyDescent="0.25">
      <c r="A16" s="1284" t="s">
        <v>824</v>
      </c>
      <c r="B16" s="1285"/>
      <c r="C16" s="1285"/>
      <c r="D16" s="1285"/>
      <c r="E16" s="1286"/>
      <c r="F16" s="233"/>
      <c r="G16" s="1140"/>
      <c r="H16" s="1329"/>
      <c r="I16" s="1329"/>
      <c r="J16" s="1329"/>
      <c r="K16" s="1329"/>
      <c r="L16" s="1329"/>
      <c r="M16" s="1142"/>
    </row>
    <row r="17" spans="1:22" x14ac:dyDescent="0.25">
      <c r="A17" s="1287"/>
      <c r="B17" s="1288"/>
      <c r="C17" s="1288"/>
      <c r="D17" s="1288"/>
      <c r="E17" s="1289"/>
      <c r="F17" s="233"/>
      <c r="G17" s="1140"/>
      <c r="H17" s="1329"/>
      <c r="I17" s="1329"/>
      <c r="J17" s="1329"/>
      <c r="K17" s="1329"/>
      <c r="L17" s="1329"/>
      <c r="M17" s="1142"/>
    </row>
    <row r="18" spans="1:22" x14ac:dyDescent="0.25">
      <c r="A18" s="1287"/>
      <c r="B18" s="1288"/>
      <c r="C18" s="1288"/>
      <c r="D18" s="1288"/>
      <c r="E18" s="1289"/>
      <c r="F18" s="233"/>
      <c r="G18" s="1140"/>
      <c r="H18" s="1329"/>
      <c r="I18" s="1329"/>
      <c r="J18" s="1329"/>
      <c r="K18" s="1329"/>
      <c r="L18" s="1329"/>
      <c r="M18" s="1142"/>
    </row>
    <row r="19" spans="1:22" x14ac:dyDescent="0.25">
      <c r="A19" s="1290"/>
      <c r="B19" s="1291"/>
      <c r="C19" s="1291"/>
      <c r="D19" s="1291"/>
      <c r="E19" s="1292"/>
      <c r="F19" s="233"/>
      <c r="G19" s="1143"/>
      <c r="H19" s="1144"/>
      <c r="I19" s="1144"/>
      <c r="J19" s="1144"/>
      <c r="K19" s="1144"/>
      <c r="L19" s="1144"/>
      <c r="M19" s="1145"/>
    </row>
    <row r="20" spans="1:22" x14ac:dyDescent="0.25">
      <c r="A20" s="233"/>
      <c r="B20" s="233"/>
      <c r="C20" s="233"/>
      <c r="D20" s="366"/>
      <c r="E20" s="233"/>
      <c r="F20" s="233"/>
      <c r="G20" s="233"/>
      <c r="H20" s="233"/>
      <c r="I20" s="233"/>
      <c r="J20" s="219"/>
      <c r="K20" s="367"/>
      <c r="L20" s="1291"/>
      <c r="M20" s="1292"/>
    </row>
    <row r="21" spans="1:22" s="1" customFormat="1" ht="75.75" customHeight="1" thickBot="1" x14ac:dyDescent="0.3">
      <c r="A21" s="119" t="s">
        <v>39</v>
      </c>
      <c r="B21" s="120" t="s">
        <v>40</v>
      </c>
      <c r="C21" s="120" t="s">
        <v>479</v>
      </c>
      <c r="D21" s="311" t="s">
        <v>272</v>
      </c>
      <c r="E21" s="311" t="s">
        <v>43</v>
      </c>
      <c r="F21" s="120" t="s">
        <v>273</v>
      </c>
      <c r="G21" s="1212" t="s">
        <v>416</v>
      </c>
      <c r="H21" s="1212"/>
      <c r="I21" s="120" t="s">
        <v>45</v>
      </c>
      <c r="J21" s="312" t="s">
        <v>271</v>
      </c>
      <c r="K21" s="120" t="s">
        <v>47</v>
      </c>
      <c r="L21" s="120" t="s">
        <v>270</v>
      </c>
      <c r="M21" s="317" t="s">
        <v>415</v>
      </c>
      <c r="P21"/>
      <c r="Q21"/>
      <c r="R21"/>
      <c r="S21"/>
      <c r="T21"/>
      <c r="U21"/>
      <c r="V21"/>
    </row>
    <row r="22" spans="1:22" ht="60" customHeight="1" thickBot="1" x14ac:dyDescent="0.3">
      <c r="A22" s="1362" t="s">
        <v>913</v>
      </c>
      <c r="B22" s="86"/>
      <c r="C22" s="606" t="s">
        <v>908</v>
      </c>
      <c r="D22" s="246"/>
      <c r="E22" s="246"/>
      <c r="F22" s="246"/>
      <c r="G22" s="1160"/>
      <c r="H22" s="1161"/>
      <c r="I22" s="272"/>
      <c r="J22" s="269"/>
      <c r="K22" s="388"/>
      <c r="L22" s="248"/>
      <c r="M22" s="290" t="s">
        <v>911</v>
      </c>
    </row>
    <row r="23" spans="1:22" ht="48" thickBot="1" x14ac:dyDescent="0.3">
      <c r="A23" s="1389"/>
      <c r="B23" s="86" t="s">
        <v>721</v>
      </c>
      <c r="C23" s="259" t="str">
        <f>VLOOKUP($B23,Activities!$A$10:$P$152,3,FALSE)</f>
        <v>Mobilisation and Demobilisation of Mobile Plant or Fixed Plant &lt; 30 Tonne Load</v>
      </c>
      <c r="D23" s="239" t="s">
        <v>49</v>
      </c>
      <c r="E23" s="320">
        <f>'Mob &amp; Demob Equipment List'!C6</f>
        <v>0</v>
      </c>
      <c r="F23" s="246" t="s">
        <v>1052</v>
      </c>
      <c r="G23" s="556" t="s">
        <v>907</v>
      </c>
      <c r="H23" s="168"/>
      <c r="I23" s="272">
        <f>VLOOKUP($B23,Activities!$A$10:$S$152,16,FALSE)</f>
        <v>15.734552824137822</v>
      </c>
      <c r="J23" s="269"/>
      <c r="K23" s="388">
        <f>IF(D23="Y",IF(J23="",I23*H23*E23,J23*H23*E23),0)</f>
        <v>0</v>
      </c>
      <c r="L23" s="248" t="str">
        <f>IFERROR(IF(D23="Y",K23/$K$30,0%),"0.0%")</f>
        <v>0.0%</v>
      </c>
      <c r="M23" s="290" t="str">
        <f>VLOOKUP($B23,Activities!$A$10:$S$152,19,FALSE)</f>
        <v>This activity returns the cost of transporting fixed or mobile plant to site and return.  Includes the cost of pilot vehicles as required based on the size and weight of the load.</v>
      </c>
    </row>
    <row r="24" spans="1:22" ht="60" customHeight="1" thickBot="1" x14ac:dyDescent="0.3">
      <c r="A24" s="1389"/>
      <c r="B24" s="86"/>
      <c r="C24" s="606" t="s">
        <v>909</v>
      </c>
      <c r="D24" s="246"/>
      <c r="E24" s="246"/>
      <c r="F24" s="246"/>
      <c r="G24" s="1160"/>
      <c r="H24" s="1161"/>
      <c r="I24" s="272"/>
      <c r="J24" s="269"/>
      <c r="K24" s="388"/>
      <c r="L24" s="248"/>
      <c r="M24" s="290" t="s">
        <v>911</v>
      </c>
    </row>
    <row r="25" spans="1:22" ht="48.75" customHeight="1" thickBot="1" x14ac:dyDescent="0.3">
      <c r="A25" s="1389"/>
      <c r="B25" s="86" t="s">
        <v>723</v>
      </c>
      <c r="C25" s="259" t="str">
        <f>VLOOKUP($B25,Activities!$A$10:$P$152,3,FALSE)</f>
        <v>Mobilisation and Demobilisation of Mobile Plant or Fixed Plant - 30 to 40 Tonne Load</v>
      </c>
      <c r="D25" s="239" t="s">
        <v>49</v>
      </c>
      <c r="E25" s="320">
        <f>'Mob &amp; Demob Equipment List'!D6</f>
        <v>0</v>
      </c>
      <c r="F25" s="246" t="s">
        <v>1052</v>
      </c>
      <c r="G25" s="556" t="s">
        <v>907</v>
      </c>
      <c r="H25" s="168"/>
      <c r="I25" s="272">
        <f>VLOOKUP($B25,Activities!$A$10:$S$152,16,FALSE)</f>
        <v>25.175284518620519</v>
      </c>
      <c r="J25" s="269"/>
      <c r="K25" s="388">
        <f>IF(D25="Y",IF(J25="",I25*H25*E25,J25*H25*E25),0)</f>
        <v>0</v>
      </c>
      <c r="L25" s="248" t="str">
        <f>IFERROR(IF(D25="Y",K25/$K$30,0%),"0.0%")</f>
        <v>0.0%</v>
      </c>
      <c r="M25" s="290" t="str">
        <f>VLOOKUP($B25,Activities!$A$10:$S$152,19,FALSE)</f>
        <v>This activity returns the cost of transporting fixed or mobile plant to site and return.  Includes the cost of pilot vehicles as required based on the size and weight of the load.</v>
      </c>
    </row>
    <row r="26" spans="1:22" ht="60" customHeight="1" thickBot="1" x14ac:dyDescent="0.3">
      <c r="A26" s="1389"/>
      <c r="B26" s="86"/>
      <c r="C26" s="606" t="s">
        <v>910</v>
      </c>
      <c r="D26" s="246"/>
      <c r="E26" s="246"/>
      <c r="F26" s="246"/>
      <c r="G26" s="1160"/>
      <c r="H26" s="1161"/>
      <c r="I26" s="272"/>
      <c r="J26" s="269"/>
      <c r="K26" s="388"/>
      <c r="L26" s="248"/>
      <c r="M26" s="290" t="s">
        <v>911</v>
      </c>
    </row>
    <row r="27" spans="1:22" ht="48" thickBot="1" x14ac:dyDescent="0.3">
      <c r="A27" s="1389"/>
      <c r="B27" s="86" t="s">
        <v>725</v>
      </c>
      <c r="C27" s="259" t="str">
        <f>VLOOKUP($B27,Activities!$A$10:$P$152,3,FALSE)</f>
        <v>Mobilisation and Demobilisation of Mobile Plant or Fixed Plant &gt; 40 Tonne Load</v>
      </c>
      <c r="D27" s="239" t="s">
        <v>49</v>
      </c>
      <c r="E27" s="320">
        <f>'Mob &amp; Demob Equipment List'!E6</f>
        <v>0</v>
      </c>
      <c r="F27" s="246" t="s">
        <v>1052</v>
      </c>
      <c r="G27" s="556" t="s">
        <v>907</v>
      </c>
      <c r="H27" s="168"/>
      <c r="I27" s="272">
        <f>VLOOKUP($B27,Activities!$A$10:$S$152,16,FALSE)</f>
        <v>33.042560930689433</v>
      </c>
      <c r="J27" s="269"/>
      <c r="K27" s="388">
        <f>IF(D27="Y",IF(J27="",I27*H27*E27,J27*H27*E27),0)</f>
        <v>0</v>
      </c>
      <c r="L27" s="248" t="str">
        <f>IFERROR(IF(D27="Y",K27/$K$30,0%),"0.0%")</f>
        <v>0.0%</v>
      </c>
      <c r="M27" s="290" t="str">
        <f>VLOOKUP($B27,Activities!$A$10:$S$152,19,FALSE)</f>
        <v>This activity returns the cost of transporting fixed or mobile plant to site and return.  Includes the cost of pilot vehicles as required based on the size and weight of the load.</v>
      </c>
    </row>
    <row r="28" spans="1:22" ht="15.75" thickBot="1" x14ac:dyDescent="0.3">
      <c r="A28" s="111" t="s">
        <v>53</v>
      </c>
      <c r="B28" s="112" t="str">
        <f>A22</f>
        <v>Mobilisation &amp; Demobilisation of equipment used in the rehabilitation of the site</v>
      </c>
      <c r="C28" s="103"/>
      <c r="D28" s="24"/>
      <c r="E28" s="25"/>
      <c r="F28" s="24"/>
      <c r="G28" s="24"/>
      <c r="H28" s="24"/>
      <c r="I28" s="26"/>
      <c r="J28" s="255"/>
      <c r="K28" s="28">
        <f>SUM(K22:K27)</f>
        <v>0</v>
      </c>
      <c r="L28" s="171"/>
      <c r="M28" s="172"/>
    </row>
    <row r="29" spans="1:22" ht="55.5" customHeight="1" thickBot="1" x14ac:dyDescent="0.3">
      <c r="A29" s="1361" t="s">
        <v>914</v>
      </c>
      <c r="B29" s="37"/>
      <c r="C29" s="218" t="s">
        <v>55</v>
      </c>
      <c r="D29" s="239" t="s">
        <v>52</v>
      </c>
      <c r="E29" s="346"/>
      <c r="F29" s="296"/>
      <c r="G29" s="1160"/>
      <c r="H29" s="1161"/>
      <c r="I29" s="355" t="s">
        <v>475</v>
      </c>
      <c r="J29" s="269"/>
      <c r="K29" s="387" t="str">
        <f>IF(D29="Y",J29*E29,"")</f>
        <v/>
      </c>
      <c r="L29" s="248">
        <f>IFERROR(IF(D29="Y",K29/$K$34,0%),"0.0%")</f>
        <v>0</v>
      </c>
      <c r="M29" s="139" t="s">
        <v>56</v>
      </c>
    </row>
    <row r="30" spans="1:22" ht="55.5" customHeight="1" thickBot="1" x14ac:dyDescent="0.3">
      <c r="A30" s="1361"/>
      <c r="B30" s="37"/>
      <c r="C30" s="218" t="s">
        <v>55</v>
      </c>
      <c r="D30" s="239" t="s">
        <v>52</v>
      </c>
      <c r="E30" s="346"/>
      <c r="F30" s="296"/>
      <c r="G30" s="1160"/>
      <c r="H30" s="1161"/>
      <c r="I30" s="355" t="s">
        <v>475</v>
      </c>
      <c r="J30" s="269"/>
      <c r="K30" s="387" t="str">
        <f>IF(D30="Y",J30*E30,"")</f>
        <v/>
      </c>
      <c r="L30" s="248">
        <f>IFERROR(IF(D30="Y",K30/$K$34,0%),"0.0%")</f>
        <v>0</v>
      </c>
      <c r="M30" s="139" t="s">
        <v>56</v>
      </c>
    </row>
    <row r="31" spans="1:22" ht="55.5" customHeight="1" thickBot="1" x14ac:dyDescent="0.3">
      <c r="A31" s="1361"/>
      <c r="B31" s="37"/>
      <c r="C31" s="218" t="s">
        <v>55</v>
      </c>
      <c r="D31" s="239" t="s">
        <v>52</v>
      </c>
      <c r="E31" s="346"/>
      <c r="F31" s="296"/>
      <c r="G31" s="1160"/>
      <c r="H31" s="1161"/>
      <c r="I31" s="355" t="s">
        <v>475</v>
      </c>
      <c r="J31" s="269"/>
      <c r="K31" s="387" t="str">
        <f>IF(D31="Y",J31*E31,"")</f>
        <v/>
      </c>
      <c r="L31" s="248">
        <f>IFERROR(IF(D31="Y",K31/$K$34,0%),"0.0%")</f>
        <v>0</v>
      </c>
      <c r="M31" s="139" t="s">
        <v>56</v>
      </c>
    </row>
    <row r="32" spans="1:22" ht="15.75" thickBot="1" x14ac:dyDescent="0.3">
      <c r="A32" s="21" t="s">
        <v>53</v>
      </c>
      <c r="B32" s="22" t="str">
        <f>A29</f>
        <v>Other Activites Required</v>
      </c>
      <c r="C32" s="23"/>
      <c r="D32" s="24"/>
      <c r="E32" s="25"/>
      <c r="F32" s="24"/>
      <c r="G32" s="24"/>
      <c r="H32" s="24"/>
      <c r="I32" s="26"/>
      <c r="J32" s="27"/>
      <c r="K32" s="28">
        <f>SUM(K29:K31)</f>
        <v>0</v>
      </c>
      <c r="L32" s="24"/>
      <c r="M32" s="29"/>
    </row>
    <row r="33" spans="1:13" x14ac:dyDescent="0.25">
      <c r="A33" s="3"/>
      <c r="B33" s="3"/>
      <c r="C33" s="30"/>
      <c r="D33" s="9"/>
      <c r="E33" s="31"/>
      <c r="F33" s="9"/>
      <c r="G33" s="9"/>
      <c r="H33" s="9"/>
      <c r="I33" s="32"/>
      <c r="J33" s="2"/>
      <c r="K33" s="77"/>
      <c r="L33" s="9"/>
      <c r="M33" s="30"/>
    </row>
    <row r="34" spans="1:13" ht="21" x14ac:dyDescent="0.25">
      <c r="A34" s="3"/>
      <c r="B34" s="3"/>
      <c r="C34" s="30"/>
      <c r="D34" s="9"/>
      <c r="E34" s="31"/>
      <c r="F34" s="9"/>
      <c r="G34" s="9"/>
      <c r="H34" s="9"/>
      <c r="J34" s="34" t="s">
        <v>912</v>
      </c>
      <c r="K34" s="53">
        <f>K28+K32</f>
        <v>0</v>
      </c>
      <c r="L34" s="9"/>
      <c r="M34" s="30"/>
    </row>
    <row r="35" spans="1:13" x14ac:dyDescent="0.25">
      <c r="A35" s="3"/>
      <c r="B35" s="3"/>
      <c r="C35" s="30"/>
      <c r="D35" s="9"/>
      <c r="E35" s="31"/>
      <c r="F35" s="9"/>
      <c r="G35" s="9"/>
      <c r="H35" s="9"/>
      <c r="I35" s="32"/>
      <c r="J35" s="2"/>
      <c r="K35" s="77"/>
      <c r="L35" s="9"/>
      <c r="M35" s="30"/>
    </row>
    <row r="36" spans="1:13" x14ac:dyDescent="0.25">
      <c r="A36" s="3"/>
      <c r="B36" s="3"/>
      <c r="C36" s="30"/>
      <c r="D36" s="9"/>
      <c r="E36" s="31"/>
      <c r="F36" s="9"/>
      <c r="G36" s="9"/>
      <c r="H36" s="9"/>
      <c r="I36" s="32"/>
      <c r="J36" s="2"/>
      <c r="K36" s="77"/>
      <c r="L36" s="9"/>
      <c r="M36" s="30"/>
    </row>
    <row r="37" spans="1:13" x14ac:dyDescent="0.25">
      <c r="A37" s="3"/>
      <c r="B37" s="3"/>
      <c r="C37" s="30"/>
      <c r="D37" s="9"/>
      <c r="E37" s="31"/>
      <c r="F37" s="9"/>
      <c r="G37" s="9"/>
      <c r="H37" s="9"/>
      <c r="I37" s="32"/>
      <c r="J37" s="2"/>
      <c r="K37" s="77"/>
      <c r="L37" s="9"/>
      <c r="M37" s="30"/>
    </row>
    <row r="38" spans="1:13" x14ac:dyDescent="0.25">
      <c r="A38" s="3"/>
      <c r="B38" s="3"/>
      <c r="C38" s="30"/>
      <c r="D38" s="9"/>
      <c r="E38" s="31"/>
      <c r="F38" s="9"/>
      <c r="G38" s="9"/>
      <c r="H38" s="9"/>
      <c r="I38" s="32"/>
      <c r="J38" s="2"/>
      <c r="K38" s="77"/>
      <c r="L38" s="9"/>
      <c r="M38" s="30"/>
    </row>
    <row r="39" spans="1:13" x14ac:dyDescent="0.25">
      <c r="A39" s="3"/>
      <c r="B39" s="3"/>
      <c r="C39" s="30"/>
      <c r="D39" s="9"/>
      <c r="E39" s="31"/>
      <c r="F39" s="9"/>
      <c r="G39" s="9"/>
      <c r="H39" s="9"/>
      <c r="I39" s="32"/>
      <c r="J39" s="2"/>
      <c r="K39" s="77"/>
      <c r="L39" s="9"/>
      <c r="M39" s="30"/>
    </row>
    <row r="40" spans="1:13" x14ac:dyDescent="0.25">
      <c r="A40" s="3"/>
      <c r="B40" s="3"/>
      <c r="C40" s="30"/>
      <c r="D40" s="9"/>
      <c r="E40" s="31"/>
      <c r="F40" s="9"/>
      <c r="G40" s="9"/>
      <c r="H40" s="9"/>
      <c r="I40" s="32"/>
      <c r="J40" s="2"/>
      <c r="K40" s="77"/>
      <c r="L40" s="9"/>
      <c r="M40" s="30"/>
    </row>
    <row r="41" spans="1:13" x14ac:dyDescent="0.25">
      <c r="A41" s="3"/>
      <c r="B41" s="3"/>
      <c r="C41" s="30"/>
      <c r="D41" s="9"/>
      <c r="E41" s="31"/>
      <c r="F41" s="9"/>
      <c r="G41" s="9"/>
      <c r="H41" s="9"/>
      <c r="I41" s="32"/>
      <c r="J41" s="2"/>
      <c r="K41" s="77"/>
      <c r="L41" s="9"/>
      <c r="M41" s="30"/>
    </row>
    <row r="42" spans="1:13" x14ac:dyDescent="0.25">
      <c r="A42" s="3"/>
      <c r="B42" s="3"/>
      <c r="C42" s="30"/>
      <c r="D42" s="9"/>
      <c r="E42" s="31"/>
      <c r="F42" s="9"/>
      <c r="G42" s="9"/>
      <c r="H42" s="9"/>
      <c r="I42" s="32"/>
      <c r="J42" s="2"/>
      <c r="K42" s="77"/>
      <c r="L42" s="9"/>
      <c r="M42" s="30"/>
    </row>
    <row r="43" spans="1:13" x14ac:dyDescent="0.25">
      <c r="A43" s="3"/>
      <c r="B43" s="3"/>
      <c r="C43" s="30"/>
      <c r="D43" s="9"/>
      <c r="E43" s="31"/>
      <c r="F43" s="9"/>
      <c r="G43" s="9"/>
      <c r="H43" s="9"/>
      <c r="I43" s="32"/>
      <c r="J43" s="2"/>
      <c r="K43" s="77"/>
      <c r="L43" s="9"/>
      <c r="M43" s="30"/>
    </row>
    <row r="44" spans="1:13" x14ac:dyDescent="0.25">
      <c r="A44" s="3"/>
      <c r="B44" s="3"/>
      <c r="C44" s="30"/>
      <c r="D44" s="9"/>
      <c r="E44" s="31"/>
      <c r="F44" s="9"/>
      <c r="G44" s="9"/>
      <c r="H44" s="9"/>
      <c r="I44" s="32"/>
      <c r="J44" s="2"/>
      <c r="K44" s="77"/>
      <c r="L44" s="9"/>
      <c r="M44" s="30"/>
    </row>
    <row r="45" spans="1:13" x14ac:dyDescent="0.25">
      <c r="A45" s="3"/>
      <c r="B45" s="3"/>
      <c r="C45" s="30"/>
      <c r="D45" s="9"/>
      <c r="E45" s="31"/>
      <c r="F45" s="9"/>
      <c r="G45" s="9"/>
      <c r="H45" s="9"/>
      <c r="I45" s="32"/>
      <c r="J45" s="2"/>
      <c r="K45" s="77"/>
      <c r="L45" s="9"/>
      <c r="M45" s="30"/>
    </row>
    <row r="46" spans="1:13" x14ac:dyDescent="0.25">
      <c r="A46" s="3"/>
      <c r="B46" s="3"/>
      <c r="C46" s="30"/>
      <c r="D46" s="9"/>
      <c r="E46" s="9"/>
      <c r="F46" s="9"/>
      <c r="G46" s="9"/>
      <c r="H46" s="9"/>
      <c r="I46" s="32"/>
      <c r="J46" s="2"/>
      <c r="K46" s="77"/>
      <c r="L46" s="9"/>
      <c r="M46" s="30"/>
    </row>
    <row r="47" spans="1:13" x14ac:dyDescent="0.25">
      <c r="A47" s="3"/>
      <c r="B47" s="3"/>
      <c r="C47" s="30"/>
      <c r="D47" s="9"/>
      <c r="E47" s="9"/>
      <c r="F47" s="9"/>
      <c r="G47" s="9"/>
      <c r="H47" s="9"/>
      <c r="I47" s="32"/>
      <c r="J47" s="2"/>
      <c r="K47" s="77"/>
      <c r="L47" s="9"/>
      <c r="M47" s="30"/>
    </row>
    <row r="48" spans="1:13" x14ac:dyDescent="0.25">
      <c r="C48" s="30"/>
      <c r="D48" s="9"/>
      <c r="E48" s="9"/>
      <c r="F48" s="9"/>
      <c r="G48" s="9"/>
      <c r="H48" s="9"/>
      <c r="I48" s="32"/>
      <c r="J48" s="2"/>
      <c r="K48" s="9"/>
      <c r="L48" s="9"/>
      <c r="M48" s="30"/>
    </row>
    <row r="49" spans="3:13" x14ac:dyDescent="0.25">
      <c r="C49" s="30"/>
      <c r="D49" s="9"/>
      <c r="E49" s="9"/>
      <c r="F49" s="9"/>
      <c r="G49" s="9"/>
      <c r="H49" s="9"/>
      <c r="I49" s="32"/>
      <c r="J49" s="2"/>
      <c r="K49" s="9"/>
      <c r="L49" s="9"/>
      <c r="M49" s="30"/>
    </row>
    <row r="50" spans="3:13" x14ac:dyDescent="0.25">
      <c r="C50" s="30"/>
      <c r="D50" s="9"/>
      <c r="E50" s="9"/>
      <c r="F50" s="9"/>
      <c r="G50" s="9"/>
      <c r="H50" s="9"/>
      <c r="I50" s="9"/>
      <c r="J50" s="9"/>
      <c r="K50" s="9"/>
      <c r="L50" s="9"/>
      <c r="M50" s="30"/>
    </row>
    <row r="51" spans="3:13" x14ac:dyDescent="0.25">
      <c r="D51" s="9"/>
      <c r="E51" s="9"/>
      <c r="F51" s="9"/>
      <c r="G51" s="9"/>
      <c r="H51" s="9"/>
      <c r="I51" s="9"/>
      <c r="J51" s="9"/>
      <c r="K51" s="9"/>
      <c r="L51" s="9"/>
    </row>
    <row r="52" spans="3:13" x14ac:dyDescent="0.25">
      <c r="D52" s="9"/>
      <c r="E52" s="9"/>
      <c r="F52" s="9"/>
      <c r="G52" s="9"/>
      <c r="H52" s="9"/>
      <c r="I52" s="9"/>
      <c r="J52" s="9"/>
      <c r="K52" s="9"/>
      <c r="L52" s="9"/>
    </row>
    <row r="53" spans="3:13" x14ac:dyDescent="0.25">
      <c r="D53" s="9"/>
      <c r="E53" s="9"/>
      <c r="F53" s="9"/>
      <c r="G53" s="9"/>
      <c r="H53" s="9"/>
      <c r="I53" s="9"/>
      <c r="J53" s="9"/>
      <c r="K53" s="9"/>
      <c r="L53" s="9"/>
    </row>
    <row r="54" spans="3:13" x14ac:dyDescent="0.25">
      <c r="D54" s="9"/>
      <c r="E54" s="9"/>
      <c r="F54" s="9"/>
      <c r="G54" s="9"/>
      <c r="H54" s="9"/>
      <c r="I54" s="9"/>
      <c r="J54" s="9"/>
      <c r="K54" s="9"/>
      <c r="L54" s="9"/>
    </row>
    <row r="55" spans="3:13" x14ac:dyDescent="0.25">
      <c r="D55" s="9"/>
      <c r="E55" s="9"/>
      <c r="F55" s="9"/>
      <c r="G55" s="9"/>
      <c r="H55" s="9"/>
      <c r="I55" s="9"/>
      <c r="J55" s="9"/>
      <c r="K55" s="9"/>
      <c r="L55" s="9"/>
    </row>
    <row r="56" spans="3:13" x14ac:dyDescent="0.25">
      <c r="D56" s="9"/>
      <c r="E56" s="9"/>
      <c r="F56" s="9"/>
      <c r="G56" s="9"/>
      <c r="H56" s="9"/>
      <c r="I56" s="9"/>
      <c r="J56" s="9"/>
      <c r="K56" s="9"/>
      <c r="L56" s="9"/>
    </row>
    <row r="57" spans="3:13" x14ac:dyDescent="0.25">
      <c r="D57" s="9"/>
      <c r="E57" s="9"/>
      <c r="F57" s="9"/>
      <c r="G57" s="9"/>
      <c r="H57" s="9"/>
      <c r="I57" s="9"/>
      <c r="J57" s="9"/>
      <c r="K57" s="9"/>
      <c r="L57" s="9"/>
    </row>
    <row r="58" spans="3:13" x14ac:dyDescent="0.25">
      <c r="D58" s="9"/>
      <c r="E58" s="9"/>
      <c r="F58" s="9"/>
      <c r="G58" s="9"/>
      <c r="H58" s="9"/>
      <c r="I58" s="9"/>
      <c r="J58" s="9"/>
      <c r="K58" s="9"/>
      <c r="L58" s="9"/>
    </row>
    <row r="59" spans="3:13" x14ac:dyDescent="0.25">
      <c r="D59" s="9"/>
      <c r="E59" s="9"/>
      <c r="F59" s="9"/>
      <c r="G59" s="9"/>
      <c r="H59" s="9"/>
      <c r="I59" s="9"/>
      <c r="J59" s="9"/>
      <c r="K59" s="9"/>
      <c r="L59" s="9"/>
    </row>
    <row r="60" spans="3:13" x14ac:dyDescent="0.25">
      <c r="D60" s="9"/>
      <c r="E60" s="9"/>
      <c r="F60" s="9"/>
      <c r="G60" s="9"/>
      <c r="H60" s="9"/>
      <c r="I60" s="9"/>
      <c r="J60" s="9"/>
      <c r="K60" s="9"/>
      <c r="L60" s="9"/>
    </row>
    <row r="61" spans="3:13" x14ac:dyDescent="0.25">
      <c r="D61" s="9"/>
      <c r="E61" s="9"/>
      <c r="F61" s="9"/>
      <c r="G61" s="9"/>
      <c r="H61" s="9"/>
      <c r="I61" s="9"/>
      <c r="J61" s="9"/>
      <c r="K61" s="9"/>
      <c r="L61" s="9"/>
    </row>
    <row r="62" spans="3:13" x14ac:dyDescent="0.25">
      <c r="D62" s="9"/>
      <c r="E62" s="9"/>
      <c r="F62" s="9"/>
      <c r="G62" s="9"/>
      <c r="H62" s="9"/>
      <c r="I62" s="9"/>
      <c r="J62" s="9"/>
      <c r="K62" s="9"/>
      <c r="L62" s="9"/>
    </row>
  </sheetData>
  <sheetProtection algorithmName="SHA-512" hashValue="PJOBmxlZ0Njo2pS9yQ/TgQUVcnB8+YzooEkTavlEJsl9itKPeakmmpxBUmzJae9PgdCFReCFfXFkVhy3XEmXXQ==" saltValue="WpyDeA5h2408n0mcmI3lVQ==" spinCount="100000" sheet="1" formatCells="0" formatRows="0" selectLockedCells="1"/>
  <dataConsolidate/>
  <mergeCells count="31">
    <mergeCell ref="A29:A31"/>
    <mergeCell ref="G29:H29"/>
    <mergeCell ref="G30:H30"/>
    <mergeCell ref="G31:H31"/>
    <mergeCell ref="L20:M20"/>
    <mergeCell ref="G21:H21"/>
    <mergeCell ref="A22:A27"/>
    <mergeCell ref="G22:H22"/>
    <mergeCell ref="G24:H24"/>
    <mergeCell ref="G26:H26"/>
    <mergeCell ref="A5:E6"/>
    <mergeCell ref="G5:J5"/>
    <mergeCell ref="G6:M7"/>
    <mergeCell ref="B7:E7"/>
    <mergeCell ref="B8:E8"/>
    <mergeCell ref="G8:M19"/>
    <mergeCell ref="A15:B15"/>
    <mergeCell ref="C15:E15"/>
    <mergeCell ref="A16:E19"/>
    <mergeCell ref="B9:E9"/>
    <mergeCell ref="B10:E10"/>
    <mergeCell ref="B11:E11"/>
    <mergeCell ref="B12:E12"/>
    <mergeCell ref="A14:B14"/>
    <mergeCell ref="C14:E14"/>
    <mergeCell ref="A1:B1"/>
    <mergeCell ref="C1:E1"/>
    <mergeCell ref="F1:J3"/>
    <mergeCell ref="K1:L1"/>
    <mergeCell ref="C2:E2"/>
    <mergeCell ref="C3:E3"/>
  </mergeCells>
  <pageMargins left="0.70866141732283472" right="0.70866141732283472" top="0.74803149606299213" bottom="0.74803149606299213" header="0.31496062992125984" footer="0.31496062992125984"/>
  <pageSetup paperSize="9" scale="52" fitToHeight="3" orientation="landscape" r:id="rId1"/>
  <headerFooter>
    <oddHeader>&amp;LDepartment for Energy and Mining&amp;C&amp;"Arial"&amp;12&amp;KA80000 OFFICIAL&amp;1#_x000D_</oddHeader>
    <oddFooter>&amp;L&amp;Z
&amp;F&amp;C&amp;P&amp;R&amp;D</oddFooter>
  </headerFooter>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pageSetUpPr fitToPage="1"/>
  </sheetPr>
  <dimension ref="A1:M54"/>
  <sheetViews>
    <sheetView showGridLines="0" zoomScale="90" zoomScaleNormal="90" workbookViewId="0">
      <selection activeCell="H19" sqref="H19"/>
    </sheetView>
  </sheetViews>
  <sheetFormatPr defaultRowHeight="15" x14ac:dyDescent="0.25"/>
  <cols>
    <col min="1" max="1" width="28.42578125" customWidth="1"/>
    <col min="2" max="2" width="10.42578125" customWidth="1"/>
    <col min="3" max="3" width="46" customWidth="1"/>
    <col min="4" max="4" width="13.5703125" customWidth="1"/>
    <col min="5" max="5" width="11" customWidth="1"/>
    <col min="7" max="7" width="21.5703125" customWidth="1"/>
    <col min="8" max="8" width="15" customWidth="1"/>
    <col min="9" max="9" width="19.5703125" customWidth="1"/>
    <col min="10" max="10" width="12.140625" customWidth="1"/>
    <col min="11" max="11" width="50.7109375" customWidth="1"/>
    <col min="12" max="12" width="13.5703125" customWidth="1"/>
    <col min="13" max="13" width="56.5703125" customWidth="1"/>
    <col min="19" max="19" width="11" customWidth="1"/>
  </cols>
  <sheetData>
    <row r="1" spans="1:12" ht="18.75" x14ac:dyDescent="0.3">
      <c r="A1" s="6" t="s">
        <v>178</v>
      </c>
      <c r="G1" s="107" t="s">
        <v>267</v>
      </c>
      <c r="H1" s="108">
        <f>'Input Page'!C6</f>
        <v>7</v>
      </c>
    </row>
    <row r="2" spans="1:12" ht="26.25" x14ac:dyDescent="0.4">
      <c r="A2" s="7" t="s">
        <v>179</v>
      </c>
      <c r="G2" s="106" t="s">
        <v>268</v>
      </c>
      <c r="H2" s="109">
        <f>'Input Page'!C7</f>
        <v>45531</v>
      </c>
    </row>
    <row r="3" spans="1:12" ht="18.75" x14ac:dyDescent="0.3">
      <c r="A3" s="10" t="s">
        <v>33</v>
      </c>
      <c r="B3" s="11"/>
      <c r="C3" s="11"/>
      <c r="D3" s="11"/>
      <c r="E3" s="11"/>
      <c r="F3" s="11"/>
      <c r="G3" s="11"/>
      <c r="H3" s="12"/>
      <c r="I3" s="91" t="s">
        <v>94</v>
      </c>
      <c r="J3" s="92"/>
      <c r="K3" s="75">
        <f>'Input Page'!E13</f>
        <v>0</v>
      </c>
    </row>
    <row r="4" spans="1:12" ht="15" customHeight="1" x14ac:dyDescent="0.25">
      <c r="A4" s="14">
        <v>1</v>
      </c>
      <c r="B4" s="15" t="s">
        <v>309</v>
      </c>
      <c r="C4" s="15"/>
      <c r="D4" s="118">
        <f>'Input Page'!E65</f>
        <v>0</v>
      </c>
      <c r="E4" s="15" t="s">
        <v>310</v>
      </c>
      <c r="F4" s="15"/>
      <c r="G4" s="15"/>
      <c r="H4" s="16"/>
      <c r="I4" s="93"/>
      <c r="J4" s="94"/>
      <c r="K4" s="72"/>
    </row>
    <row r="5" spans="1:12" ht="15" customHeight="1" x14ac:dyDescent="0.25">
      <c r="A5" s="14">
        <v>2</v>
      </c>
      <c r="B5" s="15" t="s">
        <v>311</v>
      </c>
      <c r="C5" s="15"/>
      <c r="D5" s="170">
        <f>'Input Page'!E71</f>
        <v>0</v>
      </c>
      <c r="E5" s="15"/>
      <c r="F5" s="15"/>
      <c r="G5" s="15"/>
      <c r="H5" s="16"/>
      <c r="I5" s="95" t="s">
        <v>151</v>
      </c>
      <c r="J5" s="96"/>
      <c r="K5" s="72">
        <f>'Input Page'!E19</f>
        <v>0</v>
      </c>
    </row>
    <row r="6" spans="1:12" ht="21" customHeight="1" x14ac:dyDescent="0.25">
      <c r="A6" s="14">
        <v>3</v>
      </c>
      <c r="B6" s="15"/>
      <c r="C6" s="117"/>
      <c r="D6" s="15"/>
      <c r="E6" s="15"/>
      <c r="F6" s="15"/>
      <c r="G6" s="15"/>
      <c r="H6" s="16"/>
      <c r="I6" s="97"/>
      <c r="J6" s="98"/>
      <c r="K6" s="73"/>
    </row>
    <row r="7" spans="1:12" ht="15" customHeight="1" x14ac:dyDescent="0.3">
      <c r="A7" s="14">
        <v>4</v>
      </c>
      <c r="B7" s="15"/>
      <c r="C7" s="15"/>
      <c r="D7" s="15"/>
      <c r="E7" s="15"/>
      <c r="F7" s="15"/>
      <c r="G7" s="15"/>
      <c r="H7" s="16"/>
      <c r="I7" s="99" t="s">
        <v>152</v>
      </c>
      <c r="J7" s="100"/>
      <c r="K7" s="76">
        <f>I26</f>
        <v>0</v>
      </c>
    </row>
    <row r="8" spans="1:12" ht="15.75" x14ac:dyDescent="0.25">
      <c r="A8" s="14">
        <v>5</v>
      </c>
      <c r="B8" s="15"/>
      <c r="C8" s="15"/>
      <c r="D8" s="15"/>
      <c r="E8" s="15"/>
      <c r="F8" s="15"/>
      <c r="G8" s="15"/>
      <c r="H8" s="16"/>
      <c r="I8" s="1419" t="s">
        <v>224</v>
      </c>
      <c r="J8" s="1420"/>
      <c r="K8" s="74">
        <f>'Summary Page'!J73</f>
        <v>0</v>
      </c>
    </row>
    <row r="9" spans="1:12" ht="15.75" customHeight="1" x14ac:dyDescent="0.25">
      <c r="A9" s="44">
        <v>6</v>
      </c>
      <c r="B9" s="15"/>
      <c r="C9" s="15"/>
      <c r="D9" s="15"/>
      <c r="E9" s="15"/>
      <c r="F9" s="15"/>
      <c r="G9" s="15"/>
      <c r="H9" s="16"/>
      <c r="I9" s="1421" t="s">
        <v>153</v>
      </c>
      <c r="J9" s="1422"/>
      <c r="K9" s="101" t="e">
        <f>K7/K8</f>
        <v>#DIV/0!</v>
      </c>
    </row>
    <row r="10" spans="1:12" x14ac:dyDescent="0.25">
      <c r="A10" s="42"/>
      <c r="B10" s="17"/>
      <c r="C10" s="17"/>
      <c r="D10" s="17"/>
      <c r="E10" s="17"/>
      <c r="F10" s="17"/>
      <c r="G10" s="17"/>
      <c r="H10" s="18"/>
    </row>
    <row r="11" spans="1:12" x14ac:dyDescent="0.25">
      <c r="A11" s="38"/>
      <c r="B11" s="38"/>
      <c r="C11" s="38"/>
      <c r="D11" s="38"/>
      <c r="E11" s="38"/>
      <c r="G11" s="39"/>
      <c r="H11" s="40"/>
      <c r="I11" s="39"/>
      <c r="J11" s="39"/>
      <c r="K11" s="39"/>
    </row>
    <row r="12" spans="1:12" x14ac:dyDescent="0.25">
      <c r="A12" s="38"/>
      <c r="B12" s="38"/>
      <c r="C12" s="38"/>
      <c r="D12" s="38"/>
      <c r="E12" s="38"/>
      <c r="G12" s="39"/>
      <c r="H12" s="40"/>
      <c r="I12" s="39"/>
      <c r="J12" s="39"/>
      <c r="K12" s="39"/>
    </row>
    <row r="13" spans="1:12" ht="21" x14ac:dyDescent="0.35">
      <c r="A13" s="38"/>
      <c r="B13" s="38"/>
      <c r="C13" s="38"/>
      <c r="D13" s="38"/>
      <c r="E13" s="38"/>
      <c r="G13" s="79" t="s">
        <v>182</v>
      </c>
      <c r="H13" s="40"/>
      <c r="I13" s="78">
        <f>'Summary Page'!J63</f>
        <v>0</v>
      </c>
      <c r="J13" s="39"/>
      <c r="K13" s="39" t="s">
        <v>183</v>
      </c>
    </row>
    <row r="14" spans="1:12" x14ac:dyDescent="0.25">
      <c r="A14" s="38"/>
      <c r="B14" s="38"/>
      <c r="C14" s="38"/>
      <c r="D14" s="38"/>
      <c r="E14" s="38"/>
      <c r="G14" s="39"/>
      <c r="H14" s="40"/>
      <c r="I14" s="39"/>
      <c r="J14" s="39"/>
      <c r="K14" s="39"/>
      <c r="L14" s="39"/>
    </row>
    <row r="15" spans="1:12" ht="15" customHeight="1" x14ac:dyDescent="0.25">
      <c r="A15" s="1423" t="s">
        <v>968</v>
      </c>
      <c r="B15" s="1423"/>
      <c r="C15" s="1423"/>
      <c r="D15" s="1423"/>
      <c r="E15" s="1423"/>
      <c r="F15" s="1423"/>
      <c r="G15" s="1423"/>
      <c r="H15" s="1423"/>
      <c r="I15" s="1423"/>
      <c r="J15" s="1423"/>
      <c r="K15" s="1423"/>
      <c r="L15" s="39"/>
    </row>
    <row r="16" spans="1:12" x14ac:dyDescent="0.25">
      <c r="A16" s="1424"/>
      <c r="B16" s="1424"/>
      <c r="C16" s="1424"/>
      <c r="D16" s="1424"/>
      <c r="E16" s="1424"/>
      <c r="F16" s="1424"/>
      <c r="G16" s="1424"/>
      <c r="H16" s="1424"/>
      <c r="I16" s="1424"/>
      <c r="J16" s="1424"/>
      <c r="K16" s="1424"/>
    </row>
    <row r="17" spans="1:13" s="1" customFormat="1" ht="45.75" thickBot="1" x14ac:dyDescent="0.3">
      <c r="A17" s="119" t="s">
        <v>39</v>
      </c>
      <c r="B17" s="120" t="s">
        <v>40</v>
      </c>
      <c r="C17" s="120" t="s">
        <v>41</v>
      </c>
      <c r="D17" s="120" t="s">
        <v>42</v>
      </c>
      <c r="E17" s="120" t="s">
        <v>43</v>
      </c>
      <c r="F17" s="120" t="s">
        <v>44</v>
      </c>
      <c r="G17" s="120" t="s">
        <v>45</v>
      </c>
      <c r="H17" s="120" t="s">
        <v>46</v>
      </c>
      <c r="I17" s="120" t="s">
        <v>47</v>
      </c>
      <c r="J17" s="120" t="s">
        <v>387</v>
      </c>
      <c r="K17" s="121" t="s">
        <v>48</v>
      </c>
    </row>
    <row r="18" spans="1:13" s="1" customFormat="1" ht="54.75" customHeight="1" thickBot="1" x14ac:dyDescent="0.3">
      <c r="A18" s="85" t="s">
        <v>586</v>
      </c>
      <c r="B18" s="102" t="str">
        <f>'Input Page'!AG44</f>
        <v>A1020</v>
      </c>
      <c r="C18" s="114" t="str">
        <f>'Input Page'!AH44</f>
        <v>Monitoring (Extractive Industries)</v>
      </c>
      <c r="D18" s="239" t="s">
        <v>49</v>
      </c>
      <c r="E18" s="86">
        <f>'Input Page'!E65:G65</f>
        <v>0</v>
      </c>
      <c r="F18" s="37" t="str">
        <f>'Input Page'!H65</f>
        <v>years</v>
      </c>
      <c r="G18" s="455">
        <f>VLOOKUP(B18,Activities!A10:P55,16)</f>
        <v>50000</v>
      </c>
      <c r="H18" s="456">
        <v>0</v>
      </c>
      <c r="I18" s="20">
        <f>IF(D18="Y",IF(H18="",G18*E18,H18*E18),"")</f>
        <v>0</v>
      </c>
      <c r="J18" s="145" t="str">
        <f t="shared" ref="J18:J23" si="0">IFERROR(IF(D18="Y",I18/$I$26,0%),"0.0%")</f>
        <v>0.0%</v>
      </c>
      <c r="K18" s="87" t="s">
        <v>549</v>
      </c>
    </row>
    <row r="19" spans="1:13" s="1" customFormat="1" ht="49.5" customHeight="1" thickBot="1" x14ac:dyDescent="0.3">
      <c r="A19" s="85" t="s">
        <v>213</v>
      </c>
      <c r="B19" s="102" t="s">
        <v>192</v>
      </c>
      <c r="C19" s="115" t="s">
        <v>193</v>
      </c>
      <c r="D19" s="239" t="s">
        <v>49</v>
      </c>
      <c r="E19" s="88" t="s">
        <v>12</v>
      </c>
      <c r="F19" s="37" t="s">
        <v>194</v>
      </c>
      <c r="G19" s="453">
        <f>VLOOKUP(B19,Activities!A$10:P$55,16)</f>
        <v>0.1</v>
      </c>
      <c r="H19" s="457"/>
      <c r="I19" s="89">
        <f>IF(D19="Y",IF(H19="",G19*I$13,H19*I$13),"")</f>
        <v>0</v>
      </c>
      <c r="J19" s="145" t="str">
        <f t="shared" si="0"/>
        <v>0.0%</v>
      </c>
      <c r="K19" s="87" t="s">
        <v>214</v>
      </c>
    </row>
    <row r="20" spans="1:13" s="1" customFormat="1" ht="79.5" thickBot="1" x14ac:dyDescent="0.3">
      <c r="A20" s="85" t="s">
        <v>217</v>
      </c>
      <c r="B20" s="102" t="s">
        <v>195</v>
      </c>
      <c r="C20" s="90" t="s">
        <v>215</v>
      </c>
      <c r="D20" s="239" t="s">
        <v>49</v>
      </c>
      <c r="E20" s="88" t="s">
        <v>12</v>
      </c>
      <c r="F20" s="37" t="s">
        <v>194</v>
      </c>
      <c r="G20" s="454">
        <f>VLOOKUP(B20,Activities!A$10:P$55,16)</f>
        <v>7.4999999999999997E-2</v>
      </c>
      <c r="H20" s="458"/>
      <c r="I20" s="89">
        <f>IF(D20="Y",IF(H20="",G20*I$13,H20*I$13),"")</f>
        <v>0</v>
      </c>
      <c r="J20" s="145" t="str">
        <f t="shared" si="0"/>
        <v>0.0%</v>
      </c>
      <c r="K20" s="87" t="s">
        <v>218</v>
      </c>
    </row>
    <row r="21" spans="1:13" s="1" customFormat="1" ht="92.25" customHeight="1" thickBot="1" x14ac:dyDescent="0.3">
      <c r="A21" s="90" t="s">
        <v>583</v>
      </c>
      <c r="B21" s="102" t="s">
        <v>197</v>
      </c>
      <c r="C21" s="110" t="s">
        <v>537</v>
      </c>
      <c r="D21" s="239" t="s">
        <v>49</v>
      </c>
      <c r="E21" s="88" t="s">
        <v>12</v>
      </c>
      <c r="F21" s="37" t="s">
        <v>194</v>
      </c>
      <c r="G21" s="454">
        <f>VLOOKUP(B21,Activities!A$10:P$55,16)</f>
        <v>0.125</v>
      </c>
      <c r="H21" s="458"/>
      <c r="I21" s="89">
        <f>IF(D21="Y",IF(H21="",G21*I$13,H21*I$13),"")</f>
        <v>0</v>
      </c>
      <c r="J21" s="145" t="str">
        <f t="shared" si="0"/>
        <v>0.0%</v>
      </c>
      <c r="K21" s="87" t="s">
        <v>565</v>
      </c>
    </row>
    <row r="22" spans="1:13" s="1" customFormat="1" ht="49.5" customHeight="1" thickBot="1" x14ac:dyDescent="0.3">
      <c r="A22" s="85" t="s">
        <v>219</v>
      </c>
      <c r="B22" s="102" t="s">
        <v>198</v>
      </c>
      <c r="C22" s="110" t="s">
        <v>220</v>
      </c>
      <c r="D22" s="460" t="s">
        <v>49</v>
      </c>
      <c r="E22" s="88" t="s">
        <v>12</v>
      </c>
      <c r="F22" s="37" t="s">
        <v>194</v>
      </c>
      <c r="G22" s="453">
        <f>VLOOKUP(B22,Activities!A$10:P$55,16)</f>
        <v>0.01</v>
      </c>
      <c r="H22" s="307" t="s">
        <v>216</v>
      </c>
      <c r="I22" s="89">
        <f>G22*I$13</f>
        <v>0</v>
      </c>
      <c r="J22" s="145" t="str">
        <f t="shared" si="0"/>
        <v>0.0%</v>
      </c>
      <c r="K22" s="87" t="s">
        <v>584</v>
      </c>
    </row>
    <row r="23" spans="1:13" s="1" customFormat="1" ht="63.75" thickBot="1" x14ac:dyDescent="0.3">
      <c r="A23" s="85" t="s">
        <v>201</v>
      </c>
      <c r="B23" s="102" t="s">
        <v>200</v>
      </c>
      <c r="C23" s="110" t="s">
        <v>221</v>
      </c>
      <c r="D23" s="239" t="s">
        <v>49</v>
      </c>
      <c r="E23" s="88" t="s">
        <v>12</v>
      </c>
      <c r="F23" s="37" t="s">
        <v>194</v>
      </c>
      <c r="G23" s="453">
        <f>VLOOKUP(B23,Activities!A$10:P$55,16)</f>
        <v>0.2</v>
      </c>
      <c r="H23" s="457"/>
      <c r="I23" s="89">
        <f>IF(D23="Y",IF(H23="",G23*I$13,H23*I$13),"")</f>
        <v>0</v>
      </c>
      <c r="J23" s="145" t="str">
        <f t="shared" si="0"/>
        <v>0.0%</v>
      </c>
      <c r="K23" s="87" t="s">
        <v>585</v>
      </c>
    </row>
    <row r="24" spans="1:13" s="1" customFormat="1" ht="15.75" thickBot="1" x14ac:dyDescent="0.3">
      <c r="A24" s="21" t="s">
        <v>53</v>
      </c>
      <c r="B24" s="22" t="str">
        <f>A18</f>
        <v>Monitoring of Rehabilitation Outcomes</v>
      </c>
      <c r="C24" s="23"/>
      <c r="D24" s="24"/>
      <c r="E24" s="25"/>
      <c r="F24" s="24"/>
      <c r="G24" s="26"/>
      <c r="H24" s="27"/>
      <c r="I24" s="28">
        <f>SUM(I18:I23)</f>
        <v>0</v>
      </c>
      <c r="J24" s="24"/>
      <c r="K24" s="43"/>
    </row>
    <row r="25" spans="1:13" x14ac:dyDescent="0.25">
      <c r="A25" s="3"/>
      <c r="B25" s="3"/>
      <c r="C25" s="30"/>
      <c r="D25" s="9"/>
      <c r="E25" s="31"/>
      <c r="F25" s="9"/>
      <c r="G25" s="32"/>
      <c r="H25" s="2"/>
      <c r="I25" s="33"/>
      <c r="J25" s="9"/>
      <c r="K25" s="30"/>
    </row>
    <row r="26" spans="1:13" ht="21" x14ac:dyDescent="0.25">
      <c r="A26" s="3"/>
      <c r="B26" s="3"/>
      <c r="C26" s="30"/>
      <c r="D26" s="9"/>
      <c r="E26" s="31"/>
      <c r="F26" s="9"/>
      <c r="H26" s="34" t="s">
        <v>1204</v>
      </c>
      <c r="I26" s="53">
        <f>I24</f>
        <v>0</v>
      </c>
      <c r="J26" s="9"/>
      <c r="K26" s="30"/>
    </row>
    <row r="27" spans="1:13" x14ac:dyDescent="0.25">
      <c r="A27" s="3"/>
      <c r="B27" s="3"/>
      <c r="C27" s="30"/>
      <c r="D27" s="9"/>
      <c r="E27" s="31"/>
      <c r="F27" s="9"/>
      <c r="G27" s="32"/>
      <c r="H27" s="2"/>
      <c r="I27" s="33"/>
      <c r="J27" s="9"/>
      <c r="K27" s="30"/>
    </row>
    <row r="28" spans="1:13" x14ac:dyDescent="0.25">
      <c r="A28" s="3"/>
      <c r="B28" s="3"/>
      <c r="C28" s="30"/>
      <c r="D28" s="9"/>
      <c r="E28" s="31"/>
      <c r="F28" s="9"/>
      <c r="G28" s="32"/>
      <c r="H28" s="2"/>
      <c r="I28" s="33"/>
      <c r="J28" s="9"/>
      <c r="K28" s="30"/>
    </row>
    <row r="29" spans="1:13" x14ac:dyDescent="0.25">
      <c r="A29" s="3"/>
      <c r="B29" s="3"/>
      <c r="C29" s="30"/>
      <c r="D29" s="9"/>
      <c r="E29" s="31"/>
      <c r="F29" s="9"/>
      <c r="G29" s="32"/>
      <c r="H29" s="2"/>
      <c r="I29" s="33"/>
      <c r="J29" s="9"/>
      <c r="K29" s="30"/>
    </row>
    <row r="30" spans="1:13" x14ac:dyDescent="0.25">
      <c r="A30" s="3"/>
      <c r="B30" s="3"/>
      <c r="C30" s="30"/>
      <c r="D30" s="9"/>
      <c r="E30" s="31"/>
      <c r="F30" s="9"/>
      <c r="G30" s="32"/>
      <c r="H30" s="2"/>
      <c r="I30" s="33"/>
      <c r="J30" s="9"/>
      <c r="K30" s="30"/>
    </row>
    <row r="31" spans="1:13" ht="15.75" x14ac:dyDescent="0.25">
      <c r="A31" s="3"/>
      <c r="B31" s="3"/>
      <c r="C31" s="30"/>
      <c r="D31" s="9"/>
      <c r="E31" s="54"/>
      <c r="F31" s="9"/>
      <c r="G31" s="32"/>
      <c r="H31" s="2"/>
      <c r="I31" s="33"/>
      <c r="J31" s="9"/>
      <c r="K31" s="30"/>
    </row>
    <row r="32" spans="1:13" x14ac:dyDescent="0.25">
      <c r="A32" s="3"/>
      <c r="B32" s="3"/>
      <c r="C32" s="30"/>
      <c r="D32" s="9"/>
      <c r="E32" s="31"/>
      <c r="F32" s="9"/>
      <c r="G32" s="9"/>
      <c r="H32" s="9"/>
      <c r="I32" s="32"/>
      <c r="J32" s="2"/>
      <c r="K32" s="33"/>
      <c r="L32" s="9"/>
      <c r="M32" s="30"/>
    </row>
    <row r="33" spans="1:13" x14ac:dyDescent="0.25">
      <c r="A33" s="3"/>
      <c r="B33" s="3"/>
      <c r="C33" s="30"/>
      <c r="D33" s="9"/>
      <c r="E33" s="31"/>
      <c r="F33" s="9"/>
      <c r="G33" s="9"/>
      <c r="H33" s="9"/>
      <c r="I33" s="32"/>
      <c r="J33" s="2"/>
      <c r="K33" s="33"/>
      <c r="L33" s="9"/>
      <c r="M33" s="30"/>
    </row>
    <row r="34" spans="1:13" x14ac:dyDescent="0.25">
      <c r="A34" s="3"/>
      <c r="B34" s="3"/>
      <c r="C34" s="30"/>
      <c r="D34" s="9"/>
      <c r="E34" s="31"/>
      <c r="F34" s="9"/>
      <c r="G34" s="9"/>
      <c r="H34" s="9"/>
      <c r="I34" s="32"/>
      <c r="J34" s="2"/>
      <c r="K34" s="33"/>
      <c r="L34" s="9"/>
      <c r="M34" s="30"/>
    </row>
    <row r="35" spans="1:13" x14ac:dyDescent="0.25">
      <c r="A35" s="3"/>
      <c r="B35" s="3"/>
      <c r="C35" s="30"/>
      <c r="D35" s="9"/>
      <c r="E35" s="31"/>
      <c r="F35" s="9"/>
      <c r="G35" s="9"/>
      <c r="H35" s="9"/>
      <c r="I35" s="32"/>
      <c r="J35" s="2"/>
      <c r="K35" s="33"/>
      <c r="L35" s="9"/>
      <c r="M35" s="30"/>
    </row>
    <row r="36" spans="1:13" x14ac:dyDescent="0.25">
      <c r="A36" s="3"/>
      <c r="B36" s="3"/>
      <c r="C36" s="30"/>
      <c r="D36" s="9"/>
      <c r="E36" s="31"/>
      <c r="F36" s="9"/>
      <c r="G36" s="9"/>
      <c r="H36" s="9"/>
      <c r="I36" s="32"/>
      <c r="J36" s="2"/>
      <c r="K36" s="33"/>
      <c r="L36" s="9"/>
      <c r="M36" s="30"/>
    </row>
    <row r="37" spans="1:13" x14ac:dyDescent="0.25">
      <c r="A37" s="3"/>
      <c r="B37" s="3"/>
      <c r="C37" s="30"/>
      <c r="D37" s="9"/>
      <c r="E37" s="31"/>
      <c r="F37" s="9"/>
      <c r="G37" s="9"/>
      <c r="H37" s="9"/>
      <c r="I37" s="32"/>
      <c r="J37" s="2"/>
      <c r="K37" s="33"/>
      <c r="L37" s="9"/>
      <c r="M37" s="30"/>
    </row>
    <row r="38" spans="1:13" x14ac:dyDescent="0.25">
      <c r="A38" s="3"/>
      <c r="B38" s="3"/>
      <c r="C38" s="30"/>
      <c r="D38" s="9"/>
      <c r="E38" s="9"/>
      <c r="F38" s="9"/>
      <c r="G38" s="9"/>
      <c r="H38" s="9"/>
      <c r="I38" s="32"/>
      <c r="J38" s="2"/>
      <c r="K38" s="33"/>
      <c r="L38" s="9"/>
      <c r="M38" s="30"/>
    </row>
    <row r="39" spans="1:13" x14ac:dyDescent="0.25">
      <c r="A39" s="3"/>
      <c r="B39" s="3"/>
      <c r="C39" s="30"/>
      <c r="D39" s="9"/>
      <c r="E39" s="9"/>
      <c r="F39" s="9"/>
      <c r="G39" s="9"/>
      <c r="H39" s="9"/>
      <c r="I39" s="32"/>
      <c r="J39" s="2"/>
      <c r="K39" s="33"/>
      <c r="L39" s="9"/>
      <c r="M39" s="30"/>
    </row>
    <row r="40" spans="1:13" x14ac:dyDescent="0.25">
      <c r="C40" s="30"/>
      <c r="D40" s="9"/>
      <c r="E40" s="9"/>
      <c r="F40" s="9"/>
      <c r="G40" s="9"/>
      <c r="H40" s="9"/>
      <c r="I40" s="32"/>
      <c r="J40" s="2"/>
      <c r="K40" s="9"/>
      <c r="L40" s="9"/>
      <c r="M40" s="30"/>
    </row>
    <row r="41" spans="1:13" x14ac:dyDescent="0.25">
      <c r="C41" s="30"/>
      <c r="D41" s="9"/>
      <c r="E41" s="9"/>
      <c r="F41" s="9"/>
      <c r="G41" s="9"/>
      <c r="H41" s="9"/>
      <c r="I41" s="32"/>
      <c r="J41" s="2"/>
      <c r="K41" s="9"/>
      <c r="L41" s="9"/>
      <c r="M41" s="30"/>
    </row>
    <row r="42" spans="1:13" x14ac:dyDescent="0.25">
      <c r="C42" s="30"/>
      <c r="D42" s="9"/>
      <c r="E42" s="9"/>
      <c r="F42" s="9"/>
      <c r="G42" s="9"/>
      <c r="H42" s="9"/>
      <c r="I42" s="9"/>
      <c r="J42" s="9"/>
      <c r="K42" s="9"/>
      <c r="L42" s="9"/>
      <c r="M42" s="30"/>
    </row>
    <row r="43" spans="1:13" x14ac:dyDescent="0.25">
      <c r="D43" s="9"/>
      <c r="E43" s="9"/>
      <c r="F43" s="9"/>
      <c r="G43" s="9"/>
      <c r="H43" s="9"/>
      <c r="I43" s="9"/>
      <c r="J43" s="9"/>
      <c r="K43" s="9"/>
      <c r="L43" s="9"/>
    </row>
    <row r="44" spans="1:13" x14ac:dyDescent="0.25">
      <c r="D44" s="9"/>
      <c r="E44" s="9"/>
      <c r="F44" s="9"/>
      <c r="G44" s="9"/>
      <c r="H44" s="9"/>
      <c r="I44" s="9"/>
      <c r="J44" s="9"/>
      <c r="K44" s="9"/>
      <c r="L44" s="9"/>
    </row>
    <row r="45" spans="1:13" x14ac:dyDescent="0.25">
      <c r="D45" s="9"/>
      <c r="E45" s="9"/>
      <c r="F45" s="9"/>
      <c r="G45" s="9"/>
      <c r="H45" s="9"/>
      <c r="I45" s="9"/>
      <c r="J45" s="9"/>
      <c r="K45" s="9"/>
      <c r="L45" s="9"/>
    </row>
    <row r="46" spans="1:13" x14ac:dyDescent="0.25">
      <c r="D46" s="9"/>
      <c r="E46" s="9"/>
      <c r="F46" s="9"/>
      <c r="G46" s="9"/>
      <c r="H46" s="9"/>
      <c r="I46" s="9"/>
      <c r="J46" s="9"/>
      <c r="K46" s="9"/>
      <c r="L46" s="9"/>
    </row>
    <row r="47" spans="1:13" x14ac:dyDescent="0.25">
      <c r="D47" s="9"/>
      <c r="E47" s="9"/>
      <c r="F47" s="9"/>
      <c r="G47" s="9"/>
      <c r="H47" s="9"/>
      <c r="I47" s="9"/>
      <c r="J47" s="9"/>
      <c r="K47" s="9"/>
      <c r="L47" s="9"/>
    </row>
    <row r="48" spans="1:13" x14ac:dyDescent="0.25">
      <c r="D48" s="9"/>
      <c r="E48" s="9"/>
      <c r="F48" s="9"/>
      <c r="G48" s="9"/>
      <c r="H48" s="9"/>
      <c r="I48" s="9"/>
      <c r="J48" s="9"/>
      <c r="K48" s="9"/>
      <c r="L48" s="9"/>
    </row>
    <row r="49" spans="4:12" x14ac:dyDescent="0.25">
      <c r="D49" s="9"/>
      <c r="E49" s="9"/>
      <c r="F49" s="9"/>
      <c r="G49" s="9"/>
      <c r="H49" s="9"/>
      <c r="I49" s="9"/>
      <c r="J49" s="9"/>
      <c r="K49" s="9"/>
      <c r="L49" s="9"/>
    </row>
    <row r="50" spans="4:12" x14ac:dyDescent="0.25">
      <c r="D50" s="9"/>
      <c r="E50" s="9"/>
      <c r="F50" s="9"/>
      <c r="G50" s="9"/>
      <c r="H50" s="9"/>
      <c r="I50" s="9"/>
      <c r="J50" s="9"/>
      <c r="K50" s="9"/>
      <c r="L50" s="9"/>
    </row>
    <row r="51" spans="4:12" x14ac:dyDescent="0.25">
      <c r="D51" s="9"/>
      <c r="E51" s="9"/>
      <c r="F51" s="9"/>
      <c r="G51" s="9"/>
      <c r="H51" s="9"/>
      <c r="I51" s="9"/>
      <c r="J51" s="9"/>
      <c r="K51" s="9"/>
      <c r="L51" s="9"/>
    </row>
    <row r="52" spans="4:12" x14ac:dyDescent="0.25">
      <c r="D52" s="9"/>
      <c r="E52" s="9"/>
      <c r="F52" s="9"/>
      <c r="G52" s="9"/>
      <c r="H52" s="9"/>
      <c r="I52" s="9"/>
      <c r="J52" s="9"/>
      <c r="K52" s="9"/>
      <c r="L52" s="9"/>
    </row>
    <row r="53" spans="4:12" x14ac:dyDescent="0.25">
      <c r="D53" s="9"/>
      <c r="E53" s="9"/>
      <c r="F53" s="9"/>
      <c r="G53" s="9"/>
      <c r="H53" s="9"/>
      <c r="I53" s="9"/>
      <c r="J53" s="9"/>
      <c r="K53" s="9"/>
      <c r="L53" s="9"/>
    </row>
    <row r="54" spans="4:12" x14ac:dyDescent="0.25">
      <c r="D54" s="9"/>
      <c r="E54" s="9"/>
      <c r="F54" s="9"/>
      <c r="G54" s="9"/>
      <c r="H54" s="9"/>
      <c r="I54" s="9"/>
      <c r="J54" s="9"/>
      <c r="K54" s="9"/>
      <c r="L54" s="9"/>
    </row>
  </sheetData>
  <sheetProtection algorithmName="SHA-512" hashValue="Ps22fq33LNw7ujQ3YghEQs2PlLq1tkBsudQeIayCeMaodcL2NMZCjMgoygLUI63lpuJN0Y0qQudbUP6ZmahxxA==" saltValue="C8Wm4LcLyYQOKUgxsU5BpQ==" spinCount="100000" sheet="1" formatCells="0" formatRows="0" selectLockedCells="1"/>
  <mergeCells count="3">
    <mergeCell ref="I8:J8"/>
    <mergeCell ref="I9:J9"/>
    <mergeCell ref="A15:K16"/>
  </mergeCells>
  <pageMargins left="0.70866141732283472" right="0.70866141732283472" top="0.74803149606299213" bottom="0.74803149606299213" header="0.31496062992125984" footer="0.31496062992125984"/>
  <pageSetup paperSize="9" scale="55" fitToHeight="3" orientation="landscape" r:id="rId1"/>
  <headerFooter>
    <oddHeader>&amp;LDepartment for Energy and Mining&amp;C&amp;"Arial"&amp;12&amp;KA80000 OFFICIAL&amp;1#_x000D_</oddHeader>
    <oddFooter>&amp;L&amp;Z
&amp;F&amp;C&amp;P&amp;R&amp;D</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tabColor rgb="FF92D050"/>
  </sheetPr>
  <dimension ref="A1:G34"/>
  <sheetViews>
    <sheetView workbookViewId="0">
      <selection activeCell="J25" sqref="J25"/>
    </sheetView>
  </sheetViews>
  <sheetFormatPr defaultRowHeight="15" x14ac:dyDescent="0.25"/>
  <cols>
    <col min="2" max="2" width="12.5703125" customWidth="1"/>
    <col min="4" max="4" width="10.5703125" bestFit="1" customWidth="1"/>
    <col min="6" max="6" width="11.5703125" bestFit="1" customWidth="1"/>
    <col min="7" max="7" width="10.5703125" bestFit="1" customWidth="1"/>
  </cols>
  <sheetData>
    <row r="1" spans="1:7" s="772" customFormat="1" ht="23.25" x14ac:dyDescent="0.35"/>
    <row r="3" spans="1:7" x14ac:dyDescent="0.25">
      <c r="A3" s="56"/>
    </row>
    <row r="4" spans="1:7" s="771" customFormat="1" x14ac:dyDescent="0.25"/>
    <row r="5" spans="1:7" x14ac:dyDescent="0.25">
      <c r="D5" s="777"/>
      <c r="E5" s="774"/>
      <c r="F5" s="777"/>
      <c r="G5" s="777"/>
    </row>
    <row r="6" spans="1:7" x14ac:dyDescent="0.25">
      <c r="C6" s="776"/>
      <c r="D6" s="775"/>
      <c r="E6" s="774"/>
      <c r="F6" s="775"/>
      <c r="G6" s="775"/>
    </row>
    <row r="9" spans="1:7" x14ac:dyDescent="0.25">
      <c r="A9" s="56"/>
    </row>
    <row r="10" spans="1:7" s="771" customFormat="1" x14ac:dyDescent="0.25"/>
    <row r="11" spans="1:7" x14ac:dyDescent="0.25">
      <c r="D11" s="776"/>
      <c r="G11" s="777"/>
    </row>
    <row r="12" spans="1:7" x14ac:dyDescent="0.25">
      <c r="D12" s="776"/>
      <c r="G12" s="777"/>
    </row>
    <row r="15" spans="1:7" x14ac:dyDescent="0.25">
      <c r="A15" s="56"/>
    </row>
    <row r="17" spans="1:6" x14ac:dyDescent="0.25">
      <c r="D17" s="777"/>
      <c r="E17" s="778"/>
      <c r="F17" s="775"/>
    </row>
    <row r="18" spans="1:6" x14ac:dyDescent="0.25">
      <c r="F18" s="777"/>
    </row>
    <row r="21" spans="1:6" x14ac:dyDescent="0.25">
      <c r="A21" s="56"/>
    </row>
    <row r="23" spans="1:6" x14ac:dyDescent="0.25">
      <c r="C23" s="777"/>
    </row>
    <row r="24" spans="1:6" x14ac:dyDescent="0.25">
      <c r="C24" s="777"/>
    </row>
    <row r="25" spans="1:6" x14ac:dyDescent="0.25">
      <c r="C25" s="776"/>
    </row>
    <row r="26" spans="1:6" x14ac:dyDescent="0.25">
      <c r="C26" s="777"/>
    </row>
    <row r="27" spans="1:6" x14ac:dyDescent="0.25">
      <c r="C27" s="777"/>
    </row>
    <row r="28" spans="1:6" x14ac:dyDescent="0.25">
      <c r="C28" s="777"/>
    </row>
    <row r="30" spans="1:6" x14ac:dyDescent="0.25">
      <c r="A30" s="56"/>
      <c r="C30" s="56"/>
    </row>
    <row r="31" spans="1:6" x14ac:dyDescent="0.25">
      <c r="C31" s="771"/>
      <c r="D31" s="771"/>
      <c r="E31" s="771"/>
    </row>
    <row r="32" spans="1:6" x14ac:dyDescent="0.25">
      <c r="C32" s="777"/>
      <c r="D32" s="777"/>
      <c r="E32" s="777"/>
    </row>
    <row r="33" spans="3:5" x14ac:dyDescent="0.25">
      <c r="C33" s="777"/>
      <c r="D33" s="777"/>
      <c r="E33" s="777"/>
    </row>
    <row r="34" spans="3:5" x14ac:dyDescent="0.25">
      <c r="C34" s="773"/>
      <c r="E34" s="777"/>
    </row>
  </sheetData>
  <pageMargins left="0.7" right="0.7" top="0.75" bottom="0.75" header="0.3" footer="0.3"/>
  <headerFooter>
    <oddHeader>&amp;C&amp;"Arial"&amp;12&amp;KA80000 OFFICIAL&amp;1#_x000D_</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tabColor rgb="FF92D050"/>
  </sheetPr>
  <dimension ref="A1:T53"/>
  <sheetViews>
    <sheetView zoomScale="90" zoomScaleNormal="90" workbookViewId="0">
      <selection activeCell="A22" sqref="A22"/>
    </sheetView>
  </sheetViews>
  <sheetFormatPr defaultRowHeight="15" x14ac:dyDescent="0.25"/>
  <cols>
    <col min="1" max="1" width="60.5703125" bestFit="1" customWidth="1"/>
    <col min="2" max="2" width="9.85546875" style="720" customWidth="1"/>
    <col min="3" max="5" width="8.28515625" style="720" customWidth="1"/>
    <col min="6" max="6" width="11.42578125" style="720" customWidth="1"/>
    <col min="7" max="20" width="10.7109375" style="720" customWidth="1"/>
  </cols>
  <sheetData>
    <row r="1" spans="1:20" ht="18.75" x14ac:dyDescent="0.3">
      <c r="A1" s="721" t="s">
        <v>969</v>
      </c>
    </row>
    <row r="2" spans="1:20" ht="29.25" customHeight="1" x14ac:dyDescent="0.25">
      <c r="A2" s="1425" t="s">
        <v>970</v>
      </c>
    </row>
    <row r="3" spans="1:20" x14ac:dyDescent="0.25">
      <c r="A3" s="1426"/>
      <c r="F3" s="722" t="s">
        <v>971</v>
      </c>
      <c r="G3" s="723" t="s">
        <v>972</v>
      </c>
      <c r="H3" s="723" t="s">
        <v>973</v>
      </c>
      <c r="I3" s="723" t="s">
        <v>974</v>
      </c>
      <c r="J3" s="723" t="s">
        <v>975</v>
      </c>
      <c r="K3" s="723" t="s">
        <v>976</v>
      </c>
      <c r="L3" s="723" t="s">
        <v>977</v>
      </c>
      <c r="M3" s="723" t="s">
        <v>978</v>
      </c>
      <c r="N3" s="723" t="s">
        <v>979</v>
      </c>
      <c r="O3" s="723" t="s">
        <v>980</v>
      </c>
      <c r="P3" s="723" t="s">
        <v>981</v>
      </c>
      <c r="Q3" s="723" t="s">
        <v>982</v>
      </c>
      <c r="R3" s="723" t="s">
        <v>983</v>
      </c>
      <c r="S3" s="723" t="s">
        <v>984</v>
      </c>
      <c r="T3" s="724" t="s">
        <v>985</v>
      </c>
    </row>
    <row r="4" spans="1:20" s="1" customFormat="1" ht="30" x14ac:dyDescent="0.25">
      <c r="A4" s="725" t="s">
        <v>986</v>
      </c>
      <c r="B4" s="726" t="s">
        <v>987</v>
      </c>
      <c r="C4" s="1427" t="s">
        <v>988</v>
      </c>
      <c r="D4" s="1428"/>
      <c r="E4" s="1428"/>
      <c r="F4" s="727" t="s">
        <v>477</v>
      </c>
      <c r="G4" s="728" t="s">
        <v>989</v>
      </c>
      <c r="H4" s="728" t="s">
        <v>636</v>
      </c>
      <c r="I4" s="728" t="s">
        <v>990</v>
      </c>
      <c r="J4" s="728" t="s">
        <v>991</v>
      </c>
      <c r="K4" s="728" t="s">
        <v>992</v>
      </c>
      <c r="L4" s="728" t="s">
        <v>993</v>
      </c>
      <c r="M4" s="728" t="s">
        <v>166</v>
      </c>
      <c r="N4" s="728" t="s">
        <v>994</v>
      </c>
      <c r="O4" s="728" t="s">
        <v>995</v>
      </c>
      <c r="P4" s="728" t="s">
        <v>996</v>
      </c>
      <c r="Q4" s="728" t="s">
        <v>883</v>
      </c>
      <c r="R4" s="728" t="s">
        <v>997</v>
      </c>
      <c r="S4" s="728" t="s">
        <v>998</v>
      </c>
      <c r="T4" s="729" t="s">
        <v>999</v>
      </c>
    </row>
    <row r="5" spans="1:20" s="720" customFormat="1" x14ac:dyDescent="0.25">
      <c r="A5" s="730"/>
      <c r="B5" s="731" t="s">
        <v>1000</v>
      </c>
      <c r="C5" s="731" t="s">
        <v>1001</v>
      </c>
      <c r="D5" s="731" t="s">
        <v>1002</v>
      </c>
      <c r="E5" s="731" t="s">
        <v>1003</v>
      </c>
      <c r="F5" s="1429" t="s">
        <v>1004</v>
      </c>
      <c r="G5" s="1430"/>
      <c r="H5" s="1430"/>
      <c r="I5" s="1430"/>
      <c r="J5" s="1430"/>
      <c r="K5" s="1430"/>
      <c r="L5" s="1430"/>
      <c r="M5" s="1430"/>
      <c r="N5" s="1430"/>
      <c r="O5" s="1430"/>
      <c r="P5" s="1430"/>
      <c r="Q5" s="1430"/>
      <c r="R5" s="1430"/>
      <c r="S5" s="1430"/>
      <c r="T5" s="1431"/>
    </row>
    <row r="6" spans="1:20" s="720" customFormat="1" x14ac:dyDescent="0.25">
      <c r="A6" s="732"/>
      <c r="C6" s="733">
        <f>SUM(C7:C53)</f>
        <v>0</v>
      </c>
      <c r="D6" s="733">
        <f t="shared" ref="D6:E6" si="0">SUM(D7:D53)</f>
        <v>0</v>
      </c>
      <c r="E6" s="733">
        <f t="shared" si="0"/>
        <v>0</v>
      </c>
    </row>
    <row r="7" spans="1:20" x14ac:dyDescent="0.25">
      <c r="A7" s="48" t="s">
        <v>1005</v>
      </c>
      <c r="B7" s="734">
        <v>51</v>
      </c>
      <c r="C7" s="735"/>
      <c r="D7" s="736"/>
      <c r="E7" s="737"/>
      <c r="F7" s="738"/>
      <c r="G7" s="739"/>
      <c r="H7" s="739"/>
      <c r="I7" s="739"/>
      <c r="J7" s="739"/>
      <c r="K7" s="739"/>
      <c r="L7" s="739"/>
      <c r="M7" s="739"/>
      <c r="N7" s="739"/>
      <c r="O7" s="739"/>
      <c r="P7" s="739"/>
      <c r="Q7" s="739"/>
      <c r="R7" s="739"/>
      <c r="S7" s="739"/>
      <c r="T7" s="739"/>
    </row>
    <row r="8" spans="1:20" x14ac:dyDescent="0.25">
      <c r="A8" s="45" t="s">
        <v>1006</v>
      </c>
      <c r="B8" s="740">
        <v>12</v>
      </c>
      <c r="C8" s="741"/>
      <c r="D8" s="742"/>
      <c r="E8" s="743"/>
      <c r="F8" s="744"/>
      <c r="G8" s="358"/>
      <c r="H8" s="358"/>
      <c r="I8" s="358"/>
      <c r="J8" s="358"/>
      <c r="K8" s="358"/>
      <c r="L8" s="358"/>
      <c r="M8" s="358"/>
      <c r="N8" s="358"/>
      <c r="O8" s="358"/>
      <c r="P8" s="358"/>
      <c r="Q8" s="358"/>
      <c r="R8" s="358"/>
      <c r="S8" s="358"/>
      <c r="T8" s="358"/>
    </row>
    <row r="9" spans="1:20" x14ac:dyDescent="0.25">
      <c r="A9" s="45" t="s">
        <v>1007</v>
      </c>
      <c r="B9" s="740">
        <v>104</v>
      </c>
      <c r="C9" s="741"/>
      <c r="D9" s="742"/>
      <c r="E9" s="743"/>
      <c r="F9" s="744"/>
      <c r="G9" s="358"/>
      <c r="H9" s="358"/>
      <c r="I9" s="358"/>
      <c r="J9" s="358"/>
      <c r="K9" s="358"/>
      <c r="L9" s="358"/>
      <c r="M9" s="358"/>
      <c r="N9" s="358"/>
      <c r="O9" s="358"/>
      <c r="P9" s="358"/>
      <c r="Q9" s="358"/>
      <c r="R9" s="358"/>
      <c r="S9" s="358"/>
      <c r="T9" s="358"/>
    </row>
    <row r="10" spans="1:20" x14ac:dyDescent="0.25">
      <c r="A10" s="745" t="s">
        <v>1008</v>
      </c>
      <c r="B10" s="746">
        <v>40</v>
      </c>
      <c r="C10" s="741"/>
      <c r="D10" s="742"/>
      <c r="E10" s="743"/>
      <c r="F10" s="744"/>
      <c r="G10" s="358"/>
      <c r="H10" s="358"/>
      <c r="I10" s="358"/>
      <c r="J10" s="358"/>
      <c r="K10" s="358"/>
      <c r="L10" s="358"/>
      <c r="M10" s="358"/>
      <c r="N10" s="358"/>
      <c r="O10" s="358"/>
      <c r="P10" s="358"/>
      <c r="Q10" s="358"/>
      <c r="R10" s="358"/>
      <c r="S10" s="358"/>
      <c r="T10" s="358"/>
    </row>
    <row r="11" spans="1:20" x14ac:dyDescent="0.25">
      <c r="A11" s="745" t="s">
        <v>1170</v>
      </c>
      <c r="B11" s="746">
        <v>16</v>
      </c>
      <c r="C11" s="741"/>
      <c r="D11" s="742"/>
      <c r="E11" s="743"/>
      <c r="F11" s="744"/>
      <c r="G11" s="358"/>
      <c r="H11" s="358"/>
      <c r="I11" s="358"/>
      <c r="J11" s="358"/>
      <c r="K11" s="358"/>
      <c r="L11" s="358"/>
      <c r="M11" s="358"/>
      <c r="N11" s="358"/>
      <c r="O11" s="358"/>
      <c r="P11" s="358"/>
      <c r="Q11" s="358"/>
      <c r="R11" s="358"/>
      <c r="S11" s="358"/>
      <c r="T11" s="358"/>
    </row>
    <row r="12" spans="1:20" x14ac:dyDescent="0.25">
      <c r="A12" s="45" t="s">
        <v>1009</v>
      </c>
      <c r="B12" s="740">
        <v>84</v>
      </c>
      <c r="C12" s="741"/>
      <c r="D12" s="742"/>
      <c r="E12" s="743"/>
      <c r="F12" s="744"/>
      <c r="G12" s="358"/>
      <c r="H12" s="358"/>
      <c r="I12" s="358"/>
      <c r="J12" s="358"/>
      <c r="K12" s="358"/>
      <c r="L12" s="358"/>
      <c r="M12" s="358"/>
      <c r="N12" s="358"/>
      <c r="O12" s="358"/>
      <c r="P12" s="358"/>
      <c r="Q12" s="358"/>
      <c r="R12" s="358"/>
      <c r="S12" s="358"/>
      <c r="T12" s="358"/>
    </row>
    <row r="13" spans="1:20" x14ac:dyDescent="0.25">
      <c r="A13" s="45" t="s">
        <v>1010</v>
      </c>
      <c r="B13" s="740">
        <v>33</v>
      </c>
      <c r="C13" s="741"/>
      <c r="D13" s="742"/>
      <c r="E13" s="743"/>
      <c r="F13" s="744"/>
      <c r="G13" s="358"/>
      <c r="H13" s="358"/>
      <c r="I13" s="358"/>
      <c r="J13" s="358"/>
      <c r="K13" s="358"/>
      <c r="L13" s="358"/>
      <c r="M13" s="358"/>
      <c r="N13" s="358"/>
      <c r="O13" s="358"/>
      <c r="P13" s="358"/>
      <c r="Q13" s="358"/>
      <c r="R13" s="358"/>
      <c r="S13" s="358"/>
      <c r="T13" s="358"/>
    </row>
    <row r="14" spans="1:20" x14ac:dyDescent="0.25">
      <c r="A14" s="45" t="s">
        <v>1011</v>
      </c>
      <c r="B14" s="740">
        <v>11</v>
      </c>
      <c r="C14" s="741"/>
      <c r="D14" s="742"/>
      <c r="E14" s="743"/>
      <c r="F14" s="744"/>
      <c r="G14" s="358"/>
      <c r="H14" s="358"/>
      <c r="I14" s="358"/>
      <c r="J14" s="358"/>
      <c r="K14" s="358"/>
      <c r="L14" s="358"/>
      <c r="M14" s="358"/>
      <c r="N14" s="358"/>
      <c r="O14" s="358"/>
      <c r="P14" s="358"/>
      <c r="Q14" s="358"/>
      <c r="R14" s="358"/>
      <c r="S14" s="358"/>
      <c r="T14" s="358"/>
    </row>
    <row r="15" spans="1:20" x14ac:dyDescent="0.25">
      <c r="A15" s="747" t="s">
        <v>1012</v>
      </c>
      <c r="B15" s="748">
        <v>10</v>
      </c>
      <c r="C15" s="741"/>
      <c r="D15" s="742"/>
      <c r="E15" s="743"/>
      <c r="F15" s="744"/>
      <c r="G15" s="358"/>
      <c r="H15" s="358"/>
      <c r="I15" s="358"/>
      <c r="J15" s="358"/>
      <c r="K15" s="358"/>
      <c r="L15" s="358"/>
      <c r="M15" s="358"/>
      <c r="N15" s="358"/>
      <c r="O15" s="358"/>
      <c r="P15" s="358"/>
      <c r="Q15" s="358"/>
      <c r="R15" s="358"/>
      <c r="S15" s="358"/>
      <c r="T15" s="358"/>
    </row>
    <row r="16" spans="1:20" x14ac:dyDescent="0.25">
      <c r="A16" s="45" t="s">
        <v>1013</v>
      </c>
      <c r="B16" s="740">
        <v>40</v>
      </c>
      <c r="C16" s="741"/>
      <c r="D16" s="742"/>
      <c r="E16" s="743"/>
      <c r="F16" s="744"/>
      <c r="G16" s="358"/>
      <c r="H16" s="358"/>
      <c r="I16" s="358"/>
      <c r="J16" s="358"/>
      <c r="K16" s="358"/>
      <c r="L16" s="358"/>
      <c r="M16" s="358"/>
      <c r="N16" s="358"/>
      <c r="O16" s="358"/>
      <c r="P16" s="358"/>
      <c r="Q16" s="358"/>
      <c r="R16" s="358"/>
      <c r="S16" s="358"/>
      <c r="T16" s="358"/>
    </row>
    <row r="17" spans="1:20" x14ac:dyDescent="0.25">
      <c r="A17" s="45" t="s">
        <v>1014</v>
      </c>
      <c r="B17" s="740">
        <v>32</v>
      </c>
      <c r="C17" s="741"/>
      <c r="D17" s="742"/>
      <c r="E17" s="743"/>
      <c r="F17" s="744"/>
      <c r="G17" s="358"/>
      <c r="H17" s="358"/>
      <c r="I17" s="358"/>
      <c r="J17" s="358"/>
      <c r="K17" s="358"/>
      <c r="L17" s="358"/>
      <c r="M17" s="358"/>
      <c r="N17" s="358"/>
      <c r="O17" s="358"/>
      <c r="P17" s="358"/>
      <c r="Q17" s="358"/>
      <c r="R17" s="358"/>
      <c r="S17" s="358"/>
      <c r="T17" s="358"/>
    </row>
    <row r="18" spans="1:20" x14ac:dyDescent="0.25">
      <c r="A18" s="45" t="s">
        <v>1015</v>
      </c>
      <c r="B18" s="740">
        <v>103</v>
      </c>
      <c r="C18" s="741"/>
      <c r="D18" s="742"/>
      <c r="E18" s="743"/>
      <c r="F18" s="744"/>
      <c r="G18" s="358"/>
      <c r="H18" s="358"/>
      <c r="I18" s="358"/>
      <c r="J18" s="358"/>
      <c r="K18" s="358"/>
      <c r="L18" s="358"/>
      <c r="M18" s="358"/>
      <c r="N18" s="358"/>
      <c r="O18" s="358"/>
      <c r="P18" s="358"/>
      <c r="Q18" s="358"/>
      <c r="R18" s="358"/>
      <c r="S18" s="358"/>
      <c r="T18" s="358"/>
    </row>
    <row r="19" spans="1:20" x14ac:dyDescent="0.25">
      <c r="A19" s="45" t="s">
        <v>1016</v>
      </c>
      <c r="B19" s="740">
        <v>35</v>
      </c>
      <c r="C19" s="741"/>
      <c r="D19" s="742"/>
      <c r="E19" s="743"/>
      <c r="F19" s="744"/>
      <c r="G19" s="358"/>
      <c r="H19" s="358"/>
      <c r="I19" s="358"/>
      <c r="J19" s="358"/>
      <c r="K19" s="358"/>
      <c r="L19" s="358"/>
      <c r="M19" s="358"/>
      <c r="N19" s="358"/>
      <c r="O19" s="358"/>
      <c r="P19" s="358"/>
      <c r="Q19" s="358"/>
      <c r="R19" s="358"/>
      <c r="S19" s="358"/>
      <c r="T19" s="358"/>
    </row>
    <row r="20" spans="1:20" x14ac:dyDescent="0.25">
      <c r="A20" s="45" t="s">
        <v>1017</v>
      </c>
      <c r="B20" s="740">
        <v>15</v>
      </c>
      <c r="C20" s="741"/>
      <c r="D20" s="742"/>
      <c r="E20" s="743"/>
      <c r="F20" s="744"/>
      <c r="G20" s="358"/>
      <c r="H20" s="358"/>
      <c r="I20" s="358"/>
      <c r="J20" s="358"/>
      <c r="K20" s="358"/>
      <c r="L20" s="358"/>
      <c r="M20" s="358"/>
      <c r="N20" s="358"/>
      <c r="O20" s="358"/>
      <c r="P20" s="358"/>
      <c r="Q20" s="358"/>
      <c r="R20" s="358"/>
      <c r="S20" s="358"/>
      <c r="T20" s="358"/>
    </row>
    <row r="21" spans="1:20" x14ac:dyDescent="0.25">
      <c r="A21" s="45" t="s">
        <v>1018</v>
      </c>
      <c r="B21" s="740">
        <v>35</v>
      </c>
      <c r="C21" s="741"/>
      <c r="D21" s="742"/>
      <c r="E21" s="743"/>
      <c r="F21" s="744"/>
      <c r="G21" s="358"/>
      <c r="H21" s="358"/>
      <c r="I21" s="358"/>
      <c r="J21" s="358"/>
      <c r="K21" s="358"/>
      <c r="L21" s="358"/>
      <c r="M21" s="358"/>
      <c r="N21" s="358"/>
      <c r="O21" s="358"/>
      <c r="P21" s="358"/>
      <c r="Q21" s="358"/>
      <c r="R21" s="358"/>
      <c r="S21" s="358"/>
      <c r="T21" s="358"/>
    </row>
    <row r="22" spans="1:20" x14ac:dyDescent="0.25">
      <c r="A22" s="45" t="s">
        <v>1019</v>
      </c>
      <c r="B22" s="740">
        <v>5</v>
      </c>
      <c r="C22" s="741"/>
      <c r="D22" s="742"/>
      <c r="E22" s="743"/>
      <c r="F22" s="744"/>
      <c r="G22" s="358"/>
      <c r="H22" s="358"/>
      <c r="I22" s="358"/>
      <c r="J22" s="358"/>
      <c r="K22" s="358"/>
      <c r="L22" s="358"/>
      <c r="M22" s="358"/>
      <c r="N22" s="358"/>
      <c r="O22" s="358"/>
      <c r="P22" s="358"/>
      <c r="Q22" s="358"/>
      <c r="R22" s="358"/>
      <c r="S22" s="358"/>
      <c r="T22" s="358"/>
    </row>
    <row r="23" spans="1:20" x14ac:dyDescent="0.25">
      <c r="A23" s="745" t="s">
        <v>1020</v>
      </c>
      <c r="B23" s="746">
        <v>60</v>
      </c>
      <c r="C23" s="741"/>
      <c r="D23" s="742"/>
      <c r="E23" s="743"/>
      <c r="F23" s="744"/>
      <c r="G23" s="358"/>
      <c r="H23" s="358"/>
      <c r="I23" s="358"/>
      <c r="J23" s="358"/>
      <c r="K23" s="358"/>
      <c r="L23" s="358"/>
      <c r="M23" s="358"/>
      <c r="N23" s="358"/>
      <c r="O23" s="358"/>
      <c r="P23" s="358"/>
      <c r="Q23" s="358"/>
      <c r="R23" s="358"/>
      <c r="S23" s="358"/>
      <c r="T23" s="358"/>
    </row>
    <row r="24" spans="1:20" x14ac:dyDescent="0.25">
      <c r="A24" s="45" t="s">
        <v>1021</v>
      </c>
      <c r="B24" s="740">
        <v>30</v>
      </c>
      <c r="C24" s="741"/>
      <c r="D24" s="742"/>
      <c r="E24" s="743"/>
      <c r="F24" s="744"/>
      <c r="G24" s="358"/>
      <c r="H24" s="358"/>
      <c r="I24" s="358"/>
      <c r="J24" s="358"/>
      <c r="K24" s="358"/>
      <c r="L24" s="358"/>
      <c r="M24" s="358"/>
      <c r="N24" s="358"/>
      <c r="O24" s="358"/>
      <c r="P24" s="358"/>
      <c r="Q24" s="358"/>
      <c r="R24" s="358"/>
      <c r="S24" s="358"/>
      <c r="T24" s="358"/>
    </row>
    <row r="25" spans="1:20" x14ac:dyDescent="0.25">
      <c r="A25" s="749" t="s">
        <v>1022</v>
      </c>
      <c r="B25" s="750">
        <v>30</v>
      </c>
      <c r="C25" s="741"/>
      <c r="D25" s="742"/>
      <c r="E25" s="743"/>
      <c r="F25" s="744"/>
      <c r="G25" s="358"/>
      <c r="H25" s="358"/>
      <c r="I25" s="358"/>
      <c r="J25" s="358"/>
      <c r="K25" s="358"/>
      <c r="L25" s="358"/>
      <c r="M25" s="358"/>
      <c r="N25" s="358"/>
      <c r="O25" s="358"/>
      <c r="P25" s="358"/>
      <c r="Q25" s="358"/>
      <c r="R25" s="358"/>
      <c r="S25" s="358"/>
      <c r="T25" s="358"/>
    </row>
    <row r="26" spans="1:20" x14ac:dyDescent="0.25">
      <c r="A26" s="45" t="s">
        <v>1023</v>
      </c>
      <c r="B26" s="740">
        <v>15</v>
      </c>
      <c r="C26" s="741"/>
      <c r="D26" s="742"/>
      <c r="E26" s="743"/>
      <c r="F26" s="744"/>
      <c r="G26" s="358"/>
      <c r="H26" s="358"/>
      <c r="I26" s="358"/>
      <c r="J26" s="358"/>
      <c r="K26" s="358"/>
      <c r="L26" s="358"/>
      <c r="M26" s="358"/>
      <c r="N26" s="358"/>
      <c r="O26" s="358"/>
      <c r="P26" s="358"/>
      <c r="Q26" s="358"/>
      <c r="R26" s="358"/>
      <c r="S26" s="358"/>
      <c r="T26" s="358"/>
    </row>
    <row r="27" spans="1:20" x14ac:dyDescent="0.25">
      <c r="A27" s="45" t="s">
        <v>1024</v>
      </c>
      <c r="B27" s="740">
        <v>60</v>
      </c>
      <c r="C27" s="741"/>
      <c r="D27" s="742"/>
      <c r="E27" s="743"/>
      <c r="F27" s="744"/>
      <c r="G27" s="358"/>
      <c r="H27" s="358"/>
      <c r="I27" s="358"/>
      <c r="J27" s="358"/>
      <c r="K27" s="358"/>
      <c r="L27" s="358"/>
      <c r="M27" s="358"/>
      <c r="N27" s="358"/>
      <c r="O27" s="358"/>
      <c r="P27" s="358"/>
      <c r="Q27" s="358"/>
      <c r="R27" s="358"/>
      <c r="S27" s="358"/>
      <c r="T27" s="358"/>
    </row>
    <row r="28" spans="1:20" x14ac:dyDescent="0.25">
      <c r="A28" s="45" t="s">
        <v>1025</v>
      </c>
      <c r="B28" s="740">
        <v>15</v>
      </c>
      <c r="C28" s="741"/>
      <c r="D28" s="742"/>
      <c r="E28" s="743"/>
      <c r="F28" s="744"/>
      <c r="G28" s="358"/>
      <c r="H28" s="358"/>
      <c r="I28" s="358"/>
      <c r="J28" s="358"/>
      <c r="K28" s="358"/>
      <c r="L28" s="358"/>
      <c r="M28" s="358"/>
      <c r="N28" s="358"/>
      <c r="O28" s="358"/>
      <c r="P28" s="358"/>
      <c r="Q28" s="358"/>
      <c r="R28" s="358"/>
      <c r="S28" s="358"/>
      <c r="T28" s="358"/>
    </row>
    <row r="29" spans="1:20" x14ac:dyDescent="0.25">
      <c r="A29" s="45" t="s">
        <v>1026</v>
      </c>
      <c r="B29" s="740">
        <v>12</v>
      </c>
      <c r="C29" s="741"/>
      <c r="D29" s="742"/>
      <c r="E29" s="743"/>
      <c r="F29" s="744"/>
      <c r="G29" s="358"/>
      <c r="H29" s="358"/>
      <c r="I29" s="358"/>
      <c r="J29" s="358"/>
      <c r="K29" s="358"/>
      <c r="L29" s="358"/>
      <c r="M29" s="358"/>
      <c r="N29" s="358"/>
      <c r="O29" s="358"/>
      <c r="P29" s="358"/>
      <c r="Q29" s="358"/>
      <c r="R29" s="358"/>
      <c r="S29" s="358"/>
      <c r="T29" s="358"/>
    </row>
    <row r="30" spans="1:20" x14ac:dyDescent="0.25">
      <c r="A30" s="45" t="s">
        <v>1027</v>
      </c>
      <c r="B30" s="740">
        <v>10</v>
      </c>
      <c r="C30" s="741"/>
      <c r="D30" s="742"/>
      <c r="E30" s="743"/>
      <c r="F30" s="744"/>
      <c r="G30" s="358"/>
      <c r="H30" s="358"/>
      <c r="I30" s="358"/>
      <c r="J30" s="358"/>
      <c r="K30" s="358"/>
      <c r="L30" s="358"/>
      <c r="M30" s="358"/>
      <c r="N30" s="358"/>
      <c r="O30" s="358"/>
      <c r="P30" s="358"/>
      <c r="Q30" s="358"/>
      <c r="R30" s="358"/>
      <c r="S30" s="358"/>
      <c r="T30" s="358"/>
    </row>
    <row r="31" spans="1:20" x14ac:dyDescent="0.25">
      <c r="A31" s="45" t="s">
        <v>1028</v>
      </c>
      <c r="B31" s="740">
        <v>10</v>
      </c>
      <c r="C31" s="741"/>
      <c r="D31" s="742"/>
      <c r="E31" s="743"/>
      <c r="F31" s="744"/>
      <c r="G31" s="358"/>
      <c r="H31" s="358"/>
      <c r="I31" s="358"/>
      <c r="J31" s="358"/>
      <c r="K31" s="358"/>
      <c r="L31" s="358"/>
      <c r="M31" s="358"/>
      <c r="N31" s="358"/>
      <c r="O31" s="358"/>
      <c r="P31" s="358"/>
      <c r="Q31" s="358"/>
      <c r="R31" s="358"/>
      <c r="S31" s="358"/>
      <c r="T31" s="358"/>
    </row>
    <row r="32" spans="1:20" x14ac:dyDescent="0.25">
      <c r="A32" s="45" t="s">
        <v>1029</v>
      </c>
      <c r="B32" s="740"/>
      <c r="C32" s="741"/>
      <c r="D32" s="742"/>
      <c r="E32" s="743"/>
      <c r="F32" s="744"/>
      <c r="G32" s="358"/>
      <c r="H32" s="358"/>
      <c r="I32" s="358"/>
      <c r="J32" s="358"/>
      <c r="K32" s="358"/>
      <c r="L32" s="358"/>
      <c r="M32" s="358"/>
      <c r="N32" s="358"/>
      <c r="O32" s="358"/>
      <c r="P32" s="358"/>
      <c r="Q32" s="358"/>
      <c r="R32" s="358"/>
      <c r="S32" s="358"/>
      <c r="T32" s="358"/>
    </row>
    <row r="33" spans="1:20" x14ac:dyDescent="0.25">
      <c r="A33" s="45" t="s">
        <v>1030</v>
      </c>
      <c r="B33" s="740"/>
      <c r="C33" s="741"/>
      <c r="D33" s="742"/>
      <c r="E33" s="743"/>
      <c r="F33" s="744"/>
      <c r="G33" s="358"/>
      <c r="H33" s="358"/>
      <c r="I33" s="358"/>
      <c r="J33" s="358"/>
      <c r="K33" s="358"/>
      <c r="L33" s="358"/>
      <c r="M33" s="358"/>
      <c r="N33" s="358"/>
      <c r="O33" s="358"/>
      <c r="P33" s="358"/>
      <c r="Q33" s="358"/>
      <c r="R33" s="358"/>
      <c r="S33" s="358"/>
      <c r="T33" s="358"/>
    </row>
    <row r="34" spans="1:20" x14ac:dyDescent="0.25">
      <c r="A34" s="45" t="s">
        <v>1031</v>
      </c>
      <c r="B34" s="740">
        <v>6</v>
      </c>
      <c r="C34" s="741"/>
      <c r="D34" s="742"/>
      <c r="E34" s="743"/>
      <c r="F34" s="744"/>
      <c r="G34" s="358"/>
      <c r="H34" s="358"/>
      <c r="I34" s="358"/>
      <c r="J34" s="358"/>
      <c r="K34" s="358"/>
      <c r="L34" s="358"/>
      <c r="M34" s="358"/>
      <c r="N34" s="358"/>
      <c r="O34" s="358"/>
      <c r="P34" s="358"/>
      <c r="Q34" s="358"/>
      <c r="R34" s="358"/>
      <c r="S34" s="358"/>
      <c r="T34" s="358"/>
    </row>
    <row r="35" spans="1:20" x14ac:dyDescent="0.25">
      <c r="A35" s="45" t="s">
        <v>1032</v>
      </c>
      <c r="B35" s="740">
        <v>7</v>
      </c>
      <c r="C35" s="741"/>
      <c r="D35" s="742"/>
      <c r="E35" s="743"/>
      <c r="F35" s="744"/>
      <c r="G35" s="358"/>
      <c r="H35" s="358"/>
      <c r="I35" s="358"/>
      <c r="J35" s="358"/>
      <c r="K35" s="358"/>
      <c r="L35" s="358"/>
      <c r="M35" s="358"/>
      <c r="N35" s="358"/>
      <c r="O35" s="358"/>
      <c r="P35" s="358"/>
      <c r="Q35" s="358"/>
      <c r="R35" s="358"/>
      <c r="S35" s="358"/>
      <c r="T35" s="358"/>
    </row>
    <row r="36" spans="1:20" x14ac:dyDescent="0.25">
      <c r="A36" s="45" t="s">
        <v>1033</v>
      </c>
      <c r="B36" s="740"/>
      <c r="C36" s="741"/>
      <c r="D36" s="742"/>
      <c r="E36" s="743"/>
      <c r="F36" s="744"/>
      <c r="G36" s="358"/>
      <c r="H36" s="358"/>
      <c r="I36" s="358"/>
      <c r="J36" s="358"/>
      <c r="K36" s="358"/>
      <c r="L36" s="358"/>
      <c r="M36" s="358"/>
      <c r="N36" s="358"/>
      <c r="O36" s="358"/>
      <c r="P36" s="358"/>
      <c r="Q36" s="358"/>
      <c r="R36" s="358"/>
      <c r="S36" s="358"/>
      <c r="T36" s="358"/>
    </row>
    <row r="37" spans="1:20" x14ac:dyDescent="0.25">
      <c r="A37" s="45" t="s">
        <v>1034</v>
      </c>
      <c r="B37" s="740"/>
      <c r="C37" s="741"/>
      <c r="D37" s="742"/>
      <c r="E37" s="743"/>
      <c r="F37" s="744"/>
      <c r="G37" s="358"/>
      <c r="H37" s="358"/>
      <c r="I37" s="358"/>
      <c r="J37" s="358"/>
      <c r="K37" s="358"/>
      <c r="L37" s="358"/>
      <c r="M37" s="358"/>
      <c r="N37" s="358"/>
      <c r="O37" s="358"/>
      <c r="P37" s="358"/>
      <c r="Q37" s="358"/>
      <c r="R37" s="358"/>
      <c r="S37" s="358"/>
      <c r="T37" s="358"/>
    </row>
    <row r="38" spans="1:20" x14ac:dyDescent="0.25">
      <c r="A38" s="45" t="s">
        <v>1035</v>
      </c>
      <c r="B38" s="740">
        <v>10</v>
      </c>
      <c r="C38" s="741"/>
      <c r="D38" s="742"/>
      <c r="E38" s="743"/>
      <c r="F38" s="744"/>
      <c r="G38" s="358"/>
      <c r="H38" s="358"/>
      <c r="I38" s="358"/>
      <c r="J38" s="358"/>
      <c r="K38" s="358"/>
      <c r="L38" s="358"/>
      <c r="M38" s="358"/>
      <c r="N38" s="358"/>
      <c r="O38" s="358"/>
      <c r="P38" s="358"/>
      <c r="Q38" s="358"/>
      <c r="R38" s="358"/>
      <c r="S38" s="358"/>
      <c r="T38" s="358"/>
    </row>
    <row r="39" spans="1:20" x14ac:dyDescent="0.25">
      <c r="A39" s="45" t="s">
        <v>1036</v>
      </c>
      <c r="B39" s="740">
        <v>0.5</v>
      </c>
      <c r="C39" s="741"/>
      <c r="D39" s="742"/>
      <c r="E39" s="743"/>
      <c r="F39" s="744"/>
      <c r="G39" s="358"/>
      <c r="H39" s="358"/>
      <c r="I39" s="358"/>
      <c r="J39" s="358"/>
      <c r="K39" s="358"/>
      <c r="L39" s="358"/>
      <c r="M39" s="358"/>
      <c r="N39" s="358"/>
      <c r="O39" s="358"/>
      <c r="P39" s="358"/>
      <c r="Q39" s="358"/>
      <c r="R39" s="358"/>
      <c r="S39" s="358"/>
      <c r="T39" s="358"/>
    </row>
    <row r="40" spans="1:20" x14ac:dyDescent="0.25">
      <c r="A40" s="45" t="s">
        <v>1037</v>
      </c>
      <c r="B40" s="740"/>
      <c r="C40" s="741"/>
      <c r="D40" s="742"/>
      <c r="E40" s="743"/>
      <c r="F40" s="744"/>
      <c r="G40" s="358"/>
      <c r="H40" s="358"/>
      <c r="I40" s="358"/>
      <c r="J40" s="358"/>
      <c r="K40" s="358"/>
      <c r="L40" s="358"/>
      <c r="M40" s="358"/>
      <c r="N40" s="358"/>
      <c r="O40" s="358"/>
      <c r="P40" s="358"/>
      <c r="Q40" s="358"/>
      <c r="R40" s="358"/>
      <c r="S40" s="358"/>
      <c r="T40" s="358"/>
    </row>
    <row r="41" spans="1:20" x14ac:dyDescent="0.25">
      <c r="A41" s="45" t="s">
        <v>1038</v>
      </c>
      <c r="B41" s="740"/>
      <c r="C41" s="741"/>
      <c r="D41" s="742"/>
      <c r="E41" s="743"/>
      <c r="F41" s="744"/>
      <c r="G41" s="358"/>
      <c r="H41" s="358"/>
      <c r="I41" s="358"/>
      <c r="J41" s="358"/>
      <c r="K41" s="358"/>
      <c r="L41" s="358"/>
      <c r="M41" s="358"/>
      <c r="N41" s="358"/>
      <c r="O41" s="358"/>
      <c r="P41" s="358"/>
      <c r="Q41" s="358"/>
      <c r="R41" s="358"/>
      <c r="S41" s="358"/>
      <c r="T41" s="358"/>
    </row>
    <row r="42" spans="1:20" x14ac:dyDescent="0.25">
      <c r="A42" s="45" t="s">
        <v>1039</v>
      </c>
      <c r="B42" s="740"/>
      <c r="C42" s="741"/>
      <c r="D42" s="742"/>
      <c r="E42" s="743"/>
      <c r="F42" s="744"/>
      <c r="G42" s="358"/>
      <c r="H42" s="358"/>
      <c r="I42" s="358"/>
      <c r="J42" s="358"/>
      <c r="K42" s="358"/>
      <c r="L42" s="358"/>
      <c r="M42" s="358"/>
      <c r="N42" s="358"/>
      <c r="O42" s="358"/>
      <c r="P42" s="358"/>
      <c r="Q42" s="358"/>
      <c r="R42" s="358"/>
      <c r="S42" s="358"/>
      <c r="T42" s="358"/>
    </row>
    <row r="43" spans="1:20" x14ac:dyDescent="0.25">
      <c r="A43" s="45" t="s">
        <v>1040</v>
      </c>
      <c r="B43" s="740">
        <v>20</v>
      </c>
      <c r="C43" s="741"/>
      <c r="D43" s="742"/>
      <c r="E43" s="743"/>
      <c r="F43" s="744"/>
      <c r="G43" s="358"/>
      <c r="H43" s="358"/>
      <c r="I43" s="358"/>
      <c r="J43" s="358"/>
      <c r="K43" s="358"/>
      <c r="L43" s="358"/>
      <c r="M43" s="358"/>
      <c r="N43" s="358"/>
      <c r="O43" s="358"/>
      <c r="P43" s="358"/>
      <c r="Q43" s="358"/>
      <c r="R43" s="358"/>
      <c r="S43" s="358"/>
      <c r="T43" s="358"/>
    </row>
    <row r="44" spans="1:20" x14ac:dyDescent="0.25">
      <c r="A44" s="45" t="s">
        <v>1041</v>
      </c>
      <c r="B44" s="740"/>
      <c r="C44" s="741"/>
      <c r="D44" s="742"/>
      <c r="E44" s="743"/>
      <c r="F44" s="744"/>
      <c r="G44" s="358"/>
      <c r="H44" s="358"/>
      <c r="I44" s="358"/>
      <c r="J44" s="358"/>
      <c r="K44" s="358"/>
      <c r="L44" s="358"/>
      <c r="M44" s="358"/>
      <c r="N44" s="358"/>
      <c r="O44" s="358"/>
      <c r="P44" s="358"/>
      <c r="Q44" s="358"/>
      <c r="R44" s="358"/>
      <c r="S44" s="358"/>
      <c r="T44" s="358"/>
    </row>
    <row r="45" spans="1:20" x14ac:dyDescent="0.25">
      <c r="A45" s="45" t="s">
        <v>1042</v>
      </c>
      <c r="B45" s="740"/>
      <c r="C45" s="741"/>
      <c r="D45" s="742"/>
      <c r="E45" s="743"/>
      <c r="F45" s="744"/>
      <c r="G45" s="358"/>
      <c r="H45" s="358"/>
      <c r="I45" s="358"/>
      <c r="J45" s="358"/>
      <c r="K45" s="358"/>
      <c r="L45" s="358"/>
      <c r="M45" s="358"/>
      <c r="N45" s="358"/>
      <c r="O45" s="358"/>
      <c r="P45" s="358"/>
      <c r="Q45" s="358"/>
      <c r="R45" s="358"/>
      <c r="S45" s="358"/>
      <c r="T45" s="358"/>
    </row>
    <row r="46" spans="1:20" x14ac:dyDescent="0.25">
      <c r="A46" s="45" t="s">
        <v>1043</v>
      </c>
      <c r="B46" s="740"/>
      <c r="C46" s="741"/>
      <c r="D46" s="742"/>
      <c r="E46" s="743"/>
      <c r="F46" s="744"/>
      <c r="G46" s="358"/>
      <c r="H46" s="358"/>
      <c r="I46" s="358"/>
      <c r="J46" s="358"/>
      <c r="K46" s="358"/>
      <c r="L46" s="358"/>
      <c r="M46" s="358"/>
      <c r="N46" s="358"/>
      <c r="O46" s="358"/>
      <c r="P46" s="358"/>
      <c r="Q46" s="358"/>
      <c r="R46" s="358"/>
      <c r="S46" s="358"/>
      <c r="T46" s="358"/>
    </row>
    <row r="47" spans="1:20" x14ac:dyDescent="0.25">
      <c r="A47" s="45" t="s">
        <v>1044</v>
      </c>
      <c r="B47" s="740"/>
      <c r="C47" s="741"/>
      <c r="D47" s="742"/>
      <c r="E47" s="743"/>
      <c r="F47" s="744"/>
      <c r="G47" s="358"/>
      <c r="H47" s="358"/>
      <c r="I47" s="358"/>
      <c r="J47" s="358"/>
      <c r="K47" s="358"/>
      <c r="L47" s="358"/>
      <c r="M47" s="358"/>
      <c r="N47" s="358"/>
      <c r="O47" s="358"/>
      <c r="P47" s="358"/>
      <c r="Q47" s="358"/>
      <c r="R47" s="358"/>
      <c r="S47" s="358"/>
      <c r="T47" s="358"/>
    </row>
    <row r="48" spans="1:20" x14ac:dyDescent="0.25">
      <c r="A48" s="45" t="s">
        <v>1045</v>
      </c>
      <c r="B48" s="740">
        <v>40</v>
      </c>
      <c r="C48" s="741"/>
      <c r="D48" s="742"/>
      <c r="E48" s="743"/>
      <c r="F48" s="744"/>
      <c r="G48" s="358"/>
      <c r="H48" s="358"/>
      <c r="I48" s="358"/>
      <c r="J48" s="358"/>
      <c r="K48" s="358"/>
      <c r="L48" s="358"/>
      <c r="M48" s="358"/>
      <c r="N48" s="358"/>
      <c r="O48" s="358"/>
      <c r="P48" s="358"/>
      <c r="Q48" s="358"/>
      <c r="R48" s="358"/>
      <c r="S48" s="358"/>
      <c r="T48" s="358"/>
    </row>
    <row r="49" spans="1:20" x14ac:dyDescent="0.25">
      <c r="A49" s="45" t="s">
        <v>1046</v>
      </c>
      <c r="B49" s="740"/>
      <c r="C49" s="741"/>
      <c r="D49" s="742"/>
      <c r="E49" s="743"/>
      <c r="F49" s="744"/>
      <c r="G49" s="358"/>
      <c r="H49" s="358"/>
      <c r="I49" s="358"/>
      <c r="J49" s="358"/>
      <c r="K49" s="358"/>
      <c r="L49" s="358"/>
      <c r="M49" s="358"/>
      <c r="N49" s="358"/>
      <c r="O49" s="358"/>
      <c r="P49" s="358"/>
      <c r="Q49" s="358"/>
      <c r="R49" s="358"/>
      <c r="S49" s="358"/>
      <c r="T49" s="358"/>
    </row>
    <row r="50" spans="1:20" x14ac:dyDescent="0.25">
      <c r="A50" s="45" t="s">
        <v>1047</v>
      </c>
      <c r="B50" s="740"/>
      <c r="C50" s="741"/>
      <c r="D50" s="742"/>
      <c r="E50" s="743"/>
      <c r="F50" s="744"/>
      <c r="G50" s="358"/>
      <c r="H50" s="358"/>
      <c r="I50" s="358"/>
      <c r="J50" s="358"/>
      <c r="K50" s="358"/>
      <c r="L50" s="358"/>
      <c r="M50" s="358"/>
      <c r="N50" s="358"/>
      <c r="O50" s="358"/>
      <c r="P50" s="358"/>
      <c r="Q50" s="358"/>
      <c r="R50" s="358"/>
      <c r="S50" s="358"/>
      <c r="T50" s="358"/>
    </row>
    <row r="51" spans="1:20" x14ac:dyDescent="0.25">
      <c r="A51" s="45" t="s">
        <v>1048</v>
      </c>
      <c r="B51" s="740"/>
      <c r="C51" s="741"/>
      <c r="D51" s="742"/>
      <c r="E51" s="743"/>
      <c r="F51" s="744"/>
      <c r="G51" s="358"/>
      <c r="H51" s="358"/>
      <c r="I51" s="358"/>
      <c r="J51" s="358"/>
      <c r="K51" s="358"/>
      <c r="L51" s="358"/>
      <c r="M51" s="358"/>
      <c r="N51" s="358"/>
      <c r="O51" s="358"/>
      <c r="P51" s="358"/>
      <c r="Q51" s="358"/>
      <c r="R51" s="358"/>
      <c r="S51" s="358"/>
      <c r="T51" s="358"/>
    </row>
    <row r="52" spans="1:20" x14ac:dyDescent="0.25">
      <c r="A52" s="45" t="s">
        <v>1049</v>
      </c>
      <c r="B52" s="740">
        <v>84</v>
      </c>
      <c r="C52" s="741"/>
      <c r="D52" s="742"/>
      <c r="E52" s="743"/>
      <c r="F52" s="744"/>
      <c r="G52" s="358"/>
      <c r="H52" s="358"/>
      <c r="I52" s="358"/>
      <c r="J52" s="358"/>
      <c r="K52" s="358"/>
      <c r="L52" s="358"/>
      <c r="M52" s="358"/>
      <c r="N52" s="358"/>
      <c r="O52" s="358"/>
      <c r="P52" s="358"/>
      <c r="Q52" s="358"/>
      <c r="R52" s="358"/>
      <c r="S52" s="358"/>
      <c r="T52" s="358"/>
    </row>
    <row r="53" spans="1:20" x14ac:dyDescent="0.25">
      <c r="A53" s="45" t="s">
        <v>1050</v>
      </c>
      <c r="B53" s="740">
        <v>84</v>
      </c>
      <c r="C53" s="741"/>
      <c r="D53" s="742"/>
      <c r="E53" s="743"/>
      <c r="F53" s="744"/>
      <c r="G53" s="358"/>
      <c r="H53" s="358"/>
      <c r="I53" s="358"/>
      <c r="J53" s="358"/>
      <c r="K53" s="358"/>
      <c r="L53" s="358"/>
      <c r="M53" s="358"/>
      <c r="N53" s="358"/>
      <c r="O53" s="358"/>
      <c r="P53" s="358"/>
      <c r="Q53" s="358"/>
      <c r="R53" s="358"/>
      <c r="S53" s="358"/>
      <c r="T53" s="358"/>
    </row>
  </sheetData>
  <mergeCells count="3">
    <mergeCell ref="A2:A3"/>
    <mergeCell ref="C4:E4"/>
    <mergeCell ref="F5:T5"/>
  </mergeCells>
  <pageMargins left="0.7" right="0.7" top="0.75" bottom="0.75" header="0.3" footer="0.3"/>
  <pageSetup paperSize="9" orientation="portrait" r:id="rId1"/>
  <headerFooter>
    <oddHeader>&amp;C&amp;"Arial"&amp;12&amp;KA80000 OFFICIAL&amp;1#_x000D_</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98457-61BF-49B6-8C65-E4412EBE6FA4}">
  <sheetPr>
    <tabColor theme="7" tint="0.39997558519241921"/>
    <pageSetUpPr fitToPage="1"/>
  </sheetPr>
  <dimension ref="A1:AI42"/>
  <sheetViews>
    <sheetView showGridLines="0" workbookViewId="0">
      <selection activeCell="O20" sqref="O20"/>
    </sheetView>
  </sheetViews>
  <sheetFormatPr defaultRowHeight="15" x14ac:dyDescent="0.25"/>
  <cols>
    <col min="2" max="2" width="3" customWidth="1"/>
    <col min="3" max="4" width="2.28515625" customWidth="1"/>
    <col min="7" max="7" width="3.5703125" customWidth="1"/>
    <col min="10" max="10" width="5" customWidth="1"/>
    <col min="12" max="12" width="2.140625" customWidth="1"/>
    <col min="13" max="13" width="3.5703125" customWidth="1"/>
    <col min="14" max="14" width="2.28515625" customWidth="1"/>
    <col min="15" max="15" width="9.140625" customWidth="1"/>
    <col min="16" max="16" width="21.85546875" customWidth="1"/>
    <col min="17" max="17" width="4.42578125" customWidth="1"/>
    <col min="18" max="18" width="3.5703125" customWidth="1"/>
    <col min="20" max="20" width="6.28515625" customWidth="1"/>
    <col min="21" max="22" width="2.42578125" customWidth="1"/>
    <col min="23" max="23" width="3.42578125" customWidth="1"/>
    <col min="24" max="24" width="5.85546875" customWidth="1"/>
    <col min="27" max="27" width="10.140625" customWidth="1"/>
    <col min="30" max="30" width="3.7109375" customWidth="1"/>
    <col min="31" max="31" width="10.85546875" customWidth="1"/>
    <col min="32" max="32" width="12" customWidth="1"/>
    <col min="33" max="33" width="9.5703125" bestFit="1" customWidth="1"/>
  </cols>
  <sheetData>
    <row r="1" spans="1:31" ht="26.25" x14ac:dyDescent="0.4">
      <c r="A1" s="7" t="s">
        <v>1293</v>
      </c>
    </row>
    <row r="3" spans="1:31" ht="18.75" x14ac:dyDescent="0.3">
      <c r="B3" s="721" t="s">
        <v>1294</v>
      </c>
    </row>
    <row r="4" spans="1:31" ht="15.75" thickBot="1" x14ac:dyDescent="0.3"/>
    <row r="5" spans="1:31" x14ac:dyDescent="0.25">
      <c r="B5" s="937"/>
      <c r="C5" s="938"/>
      <c r="D5" s="938"/>
      <c r="E5" s="938"/>
      <c r="F5" s="938"/>
      <c r="G5" s="938"/>
      <c r="H5" s="938"/>
      <c r="I5" s="938"/>
      <c r="J5" s="938"/>
      <c r="K5" s="938"/>
      <c r="L5" s="938"/>
      <c r="M5" s="938"/>
      <c r="N5" s="938"/>
      <c r="O5" s="938"/>
      <c r="P5" s="938"/>
      <c r="Q5" s="938"/>
      <c r="R5" s="938"/>
      <c r="S5" s="938"/>
      <c r="T5" s="938"/>
      <c r="U5" s="938"/>
      <c r="V5" s="938"/>
      <c r="W5" s="939"/>
    </row>
    <row r="6" spans="1:31" ht="19.5" customHeight="1" x14ac:dyDescent="0.35">
      <c r="B6" s="923"/>
      <c r="C6" s="940"/>
      <c r="D6" s="940"/>
      <c r="E6" s="941" t="s">
        <v>1295</v>
      </c>
      <c r="F6" s="940"/>
      <c r="G6" s="940"/>
      <c r="H6" s="940"/>
      <c r="I6" s="942" t="s">
        <v>643</v>
      </c>
      <c r="J6" s="940"/>
      <c r="K6" s="940" t="s">
        <v>1296</v>
      </c>
      <c r="L6" s="940"/>
      <c r="M6" s="940"/>
      <c r="N6" s="940"/>
      <c r="O6" s="943" t="s">
        <v>1297</v>
      </c>
      <c r="P6" s="940" t="s">
        <v>1298</v>
      </c>
      <c r="Q6" s="940"/>
      <c r="R6" s="940"/>
      <c r="S6" s="940"/>
      <c r="T6" s="940"/>
      <c r="U6" s="940"/>
      <c r="V6" s="940"/>
      <c r="W6" s="944"/>
    </row>
    <row r="7" spans="1:31" x14ac:dyDescent="0.25">
      <c r="B7" s="923"/>
      <c r="C7" s="940"/>
      <c r="D7" s="940"/>
      <c r="E7" s="940"/>
      <c r="F7" s="940"/>
      <c r="G7" s="940"/>
      <c r="H7" s="940"/>
      <c r="I7" s="940"/>
      <c r="J7" s="940"/>
      <c r="K7" s="940"/>
      <c r="L7" s="940"/>
      <c r="M7" s="940"/>
      <c r="N7" s="940"/>
      <c r="O7" s="940"/>
      <c r="P7" s="940"/>
      <c r="Q7" s="940"/>
      <c r="R7" s="940"/>
      <c r="S7" s="940"/>
      <c r="T7" s="940"/>
      <c r="U7" s="940"/>
      <c r="V7" s="940"/>
      <c r="W7" s="944"/>
    </row>
    <row r="8" spans="1:31" x14ac:dyDescent="0.25">
      <c r="B8" s="923"/>
      <c r="C8" s="940"/>
      <c r="D8" s="940"/>
      <c r="E8" s="940"/>
      <c r="F8" s="940"/>
      <c r="G8" s="940"/>
      <c r="H8" s="940"/>
      <c r="I8" s="940"/>
      <c r="J8" s="940"/>
      <c r="K8" s="940"/>
      <c r="L8" s="940"/>
      <c r="M8" s="940"/>
      <c r="N8" s="940"/>
      <c r="O8" s="940"/>
      <c r="P8" s="940"/>
      <c r="Q8" s="940"/>
      <c r="R8" s="940"/>
      <c r="S8" s="940"/>
      <c r="T8" s="940"/>
      <c r="U8" s="940"/>
      <c r="V8" s="940"/>
      <c r="W8" s="944"/>
    </row>
    <row r="9" spans="1:31" x14ac:dyDescent="0.25">
      <c r="B9" s="923"/>
      <c r="C9" s="940"/>
      <c r="D9" s="940"/>
      <c r="E9" s="941" t="s">
        <v>1295</v>
      </c>
      <c r="F9" s="940"/>
      <c r="G9" s="940"/>
      <c r="H9" s="940"/>
      <c r="I9" s="945" t="s">
        <v>1299</v>
      </c>
      <c r="J9" s="946" t="s">
        <v>1300</v>
      </c>
      <c r="K9" s="947"/>
      <c r="L9" s="940"/>
      <c r="M9" s="940"/>
      <c r="N9" s="940"/>
      <c r="O9" s="940"/>
      <c r="P9" s="940"/>
      <c r="Q9" s="940" t="s">
        <v>1301</v>
      </c>
      <c r="R9" s="940"/>
      <c r="S9" s="940"/>
      <c r="T9" s="940"/>
      <c r="U9" s="940"/>
      <c r="V9" s="940"/>
      <c r="W9" s="944"/>
    </row>
    <row r="10" spans="1:31" ht="15.75" thickBot="1" x14ac:dyDescent="0.3">
      <c r="B10" s="948"/>
      <c r="C10" s="949"/>
      <c r="D10" s="949"/>
      <c r="E10" s="949"/>
      <c r="F10" s="949"/>
      <c r="G10" s="949"/>
      <c r="H10" s="949"/>
      <c r="I10" s="949"/>
      <c r="J10" s="949"/>
      <c r="K10" s="949"/>
      <c r="L10" s="949"/>
      <c r="M10" s="949"/>
      <c r="N10" s="949"/>
      <c r="O10" s="949"/>
      <c r="P10" s="949"/>
      <c r="Q10" s="949"/>
      <c r="R10" s="949"/>
      <c r="S10" s="949"/>
      <c r="T10" s="949"/>
      <c r="U10" s="949"/>
      <c r="V10" s="949"/>
      <c r="W10" s="950"/>
    </row>
    <row r="12" spans="1:31" ht="18.75" x14ac:dyDescent="0.3">
      <c r="B12" s="721" t="s">
        <v>1302</v>
      </c>
    </row>
    <row r="13" spans="1:31" ht="19.5" thickBot="1" x14ac:dyDescent="0.35">
      <c r="C13" s="721"/>
    </row>
    <row r="14" spans="1:31" x14ac:dyDescent="0.25">
      <c r="B14" s="951"/>
      <c r="C14" s="952"/>
      <c r="D14" s="952"/>
      <c r="E14" s="952"/>
      <c r="F14" s="952"/>
      <c r="G14" s="952"/>
      <c r="H14" s="952"/>
      <c r="I14" s="952"/>
      <c r="J14" s="952"/>
      <c r="K14" s="952"/>
      <c r="L14" s="952"/>
      <c r="M14" s="952"/>
      <c r="N14" s="952"/>
      <c r="O14" s="952"/>
      <c r="P14" s="952"/>
      <c r="Q14" s="952"/>
      <c r="R14" s="952"/>
      <c r="S14" s="952"/>
      <c r="T14" s="952"/>
      <c r="U14" s="952"/>
      <c r="V14" s="952"/>
      <c r="W14" s="953"/>
      <c r="Y14" s="847" t="s">
        <v>1261</v>
      </c>
      <c r="Z14" s="848"/>
      <c r="AA14" s="848"/>
      <c r="AB14" s="850"/>
    </row>
    <row r="15" spans="1:31" x14ac:dyDescent="0.25">
      <c r="B15" s="954"/>
      <c r="C15" s="955"/>
      <c r="D15" s="956"/>
      <c r="E15" s="956"/>
      <c r="F15" s="956"/>
      <c r="G15" s="956"/>
      <c r="H15" s="956"/>
      <c r="I15" s="956"/>
      <c r="J15" s="956"/>
      <c r="K15" s="956"/>
      <c r="L15" s="956"/>
      <c r="M15" s="956"/>
      <c r="N15" s="956"/>
      <c r="O15" s="956"/>
      <c r="P15" s="956"/>
      <c r="Q15" s="956"/>
      <c r="R15" s="956"/>
      <c r="S15" s="956"/>
      <c r="T15" s="956"/>
      <c r="U15" s="956"/>
      <c r="V15" s="957"/>
      <c r="W15" s="958"/>
      <c r="Y15" s="860" t="s">
        <v>1215</v>
      </c>
      <c r="Z15" t="s">
        <v>1216</v>
      </c>
      <c r="AA15" t="s">
        <v>1217</v>
      </c>
      <c r="AB15" s="959" t="s">
        <v>1218</v>
      </c>
    </row>
    <row r="16" spans="1:31" x14ac:dyDescent="0.25">
      <c r="B16" s="954"/>
      <c r="C16" s="960"/>
      <c r="D16" s="955"/>
      <c r="E16" s="956"/>
      <c r="F16" s="956"/>
      <c r="G16" s="956"/>
      <c r="H16" s="956"/>
      <c r="I16" s="956"/>
      <c r="J16" s="956"/>
      <c r="K16" s="956"/>
      <c r="L16" s="957"/>
      <c r="M16" s="956"/>
      <c r="N16" s="955"/>
      <c r="O16" s="956"/>
      <c r="P16" s="956"/>
      <c r="Q16" s="956"/>
      <c r="R16" s="956"/>
      <c r="S16" s="956"/>
      <c r="T16" s="956"/>
      <c r="U16" s="957"/>
      <c r="V16" s="960"/>
      <c r="W16" s="958"/>
      <c r="Y16" s="961">
        <v>7.4999999999999997E-2</v>
      </c>
      <c r="Z16" s="852">
        <v>4.2698412698412694E-2</v>
      </c>
      <c r="AA16" s="853">
        <f>4*Z16/(22/7*Y16*Y16)</f>
        <v>9.6610549943883264</v>
      </c>
      <c r="AB16" s="962">
        <f t="shared" ref="AB16:AB21" si="0">60/AA$30*AA16</f>
        <v>115.93265993265992</v>
      </c>
      <c r="AC16" s="732" t="s">
        <v>1303</v>
      </c>
      <c r="AD16">
        <f>AA30</f>
        <v>5</v>
      </c>
      <c r="AE16" t="s">
        <v>1304</v>
      </c>
    </row>
    <row r="17" spans="2:33" ht="21" x14ac:dyDescent="0.35">
      <c r="B17" s="954"/>
      <c r="C17" s="960"/>
      <c r="D17" s="963"/>
      <c r="E17" s="964" t="s">
        <v>1305</v>
      </c>
      <c r="F17" s="964"/>
      <c r="G17" s="965" t="s">
        <v>643</v>
      </c>
      <c r="H17" s="966" t="s">
        <v>1300</v>
      </c>
      <c r="I17" s="964"/>
      <c r="J17" s="964"/>
      <c r="K17" s="964"/>
      <c r="L17" s="967"/>
      <c r="M17" s="968" t="s">
        <v>1297</v>
      </c>
      <c r="N17" s="963"/>
      <c r="O17" s="969" t="s">
        <v>1306</v>
      </c>
      <c r="P17" s="969"/>
      <c r="Q17" s="969"/>
      <c r="R17" s="965" t="s">
        <v>643</v>
      </c>
      <c r="S17" s="970" t="s">
        <v>1296</v>
      </c>
      <c r="T17" s="971"/>
      <c r="U17" s="967"/>
      <c r="V17" s="960"/>
      <c r="W17" s="972"/>
      <c r="Y17" s="961">
        <v>0.1</v>
      </c>
      <c r="Z17" s="852">
        <v>4.2698412698412694E-2</v>
      </c>
      <c r="AA17" s="853">
        <f t="shared" ref="AA17:AA21" si="1">4*Z17/(22/7*Y17*Y17)</f>
        <v>5.4343434343434334</v>
      </c>
      <c r="AB17" s="962">
        <f t="shared" si="0"/>
        <v>65.212121212121204</v>
      </c>
    </row>
    <row r="18" spans="2:33" x14ac:dyDescent="0.25">
      <c r="B18" s="954"/>
      <c r="C18" s="960"/>
      <c r="D18" s="973"/>
      <c r="E18" s="956"/>
      <c r="F18" s="956"/>
      <c r="G18" s="956"/>
      <c r="H18" s="956"/>
      <c r="I18" s="956"/>
      <c r="J18" s="956"/>
      <c r="K18" s="956"/>
      <c r="L18" s="974"/>
      <c r="M18" s="956"/>
      <c r="N18" s="973"/>
      <c r="O18" s="956"/>
      <c r="P18" s="956"/>
      <c r="Q18" s="956"/>
      <c r="R18" s="956"/>
      <c r="S18" s="956">
        <v>100</v>
      </c>
      <c r="T18" s="956"/>
      <c r="U18" s="974"/>
      <c r="V18" s="960"/>
      <c r="W18" s="958"/>
      <c r="Y18" s="961">
        <v>0.125</v>
      </c>
      <c r="Z18" s="852">
        <v>4.2698412698412694E-2</v>
      </c>
      <c r="AA18" s="853">
        <f t="shared" si="1"/>
        <v>3.4779797979797977</v>
      </c>
      <c r="AB18" s="962">
        <f t="shared" si="0"/>
        <v>41.735757575757575</v>
      </c>
    </row>
    <row r="19" spans="2:33" x14ac:dyDescent="0.25">
      <c r="B19" s="954"/>
      <c r="C19" s="973"/>
      <c r="D19" s="956"/>
      <c r="E19" s="956"/>
      <c r="F19" s="956"/>
      <c r="G19" s="956"/>
      <c r="H19" s="956"/>
      <c r="I19" s="956"/>
      <c r="J19" s="956"/>
      <c r="K19" s="956"/>
      <c r="L19" s="956"/>
      <c r="M19" s="956"/>
      <c r="N19" s="956"/>
      <c r="O19" s="956"/>
      <c r="P19" s="956"/>
      <c r="Q19" s="956"/>
      <c r="R19" s="956"/>
      <c r="S19" s="956"/>
      <c r="T19" s="956"/>
      <c r="U19" s="956"/>
      <c r="V19" s="974"/>
      <c r="W19" s="958"/>
      <c r="Y19" s="961">
        <v>0.14000000000000001</v>
      </c>
      <c r="Z19" s="852">
        <v>4.2698412698412694E-2</v>
      </c>
      <c r="AA19" s="853">
        <f t="shared" si="1"/>
        <v>2.7726242011956286</v>
      </c>
      <c r="AB19" s="962">
        <f t="shared" si="0"/>
        <v>33.271490414347539</v>
      </c>
    </row>
    <row r="20" spans="2:33" ht="21" x14ac:dyDescent="0.35">
      <c r="B20" s="954"/>
      <c r="C20" s="956"/>
      <c r="D20" s="956"/>
      <c r="E20" s="956"/>
      <c r="F20" s="956"/>
      <c r="G20" s="968"/>
      <c r="H20" s="956"/>
      <c r="I20" s="956"/>
      <c r="J20" s="968" t="s">
        <v>1297</v>
      </c>
      <c r="K20" s="956" t="s">
        <v>1307</v>
      </c>
      <c r="L20" s="956"/>
      <c r="M20" s="965" t="s">
        <v>643</v>
      </c>
      <c r="N20" s="956"/>
      <c r="O20" s="956" t="s">
        <v>1308</v>
      </c>
      <c r="P20" s="956"/>
      <c r="Q20" s="956"/>
      <c r="R20" s="956"/>
      <c r="S20" s="956"/>
      <c r="T20" s="956"/>
      <c r="U20" s="956"/>
      <c r="V20" s="956"/>
      <c r="W20" s="958"/>
      <c r="Y20" s="961">
        <v>0.2</v>
      </c>
      <c r="Z20" s="852">
        <v>4.2698412698412694E-2</v>
      </c>
      <c r="AA20" s="853">
        <f t="shared" si="1"/>
        <v>1.3585858585858583</v>
      </c>
      <c r="AB20" s="962">
        <f t="shared" si="0"/>
        <v>16.303030303030301</v>
      </c>
    </row>
    <row r="21" spans="2:33" ht="15.75" thickBot="1" x14ac:dyDescent="0.3">
      <c r="B21" s="954"/>
      <c r="C21" s="956"/>
      <c r="D21" s="956"/>
      <c r="E21" s="956"/>
      <c r="F21" s="956"/>
      <c r="G21" s="956"/>
      <c r="H21" s="956"/>
      <c r="I21" s="956"/>
      <c r="J21" s="956"/>
      <c r="K21" s="956"/>
      <c r="L21" s="956"/>
      <c r="M21" s="956"/>
      <c r="N21" s="956"/>
      <c r="O21" s="956"/>
      <c r="P21" s="956"/>
      <c r="Q21" s="956"/>
      <c r="R21" s="956"/>
      <c r="S21" s="956"/>
      <c r="T21" s="956"/>
      <c r="U21" s="956"/>
      <c r="V21" s="956"/>
      <c r="W21" s="958"/>
      <c r="Y21" s="975">
        <v>0.26</v>
      </c>
      <c r="Z21" s="976">
        <v>4.2698412698412694E-2</v>
      </c>
      <c r="AA21" s="977">
        <f t="shared" si="1"/>
        <v>0.80389695774311143</v>
      </c>
      <c r="AB21" s="978">
        <f t="shared" si="0"/>
        <v>9.6467634929173371</v>
      </c>
    </row>
    <row r="22" spans="2:33" ht="15.75" thickBot="1" x14ac:dyDescent="0.3">
      <c r="B22" s="954"/>
      <c r="C22" s="956"/>
      <c r="D22" s="956"/>
      <c r="E22" s="956"/>
      <c r="F22" s="956"/>
      <c r="G22" s="956"/>
      <c r="H22" s="956"/>
      <c r="I22" s="956"/>
      <c r="J22" s="956"/>
      <c r="K22" s="956"/>
      <c r="L22" s="956"/>
      <c r="M22" s="956"/>
      <c r="N22" s="956"/>
      <c r="O22" s="956"/>
      <c r="P22" s="956"/>
      <c r="Q22" s="956"/>
      <c r="R22" s="956"/>
      <c r="S22" s="956"/>
      <c r="T22" s="956"/>
      <c r="U22" s="956"/>
      <c r="V22" s="956"/>
      <c r="W22" s="958"/>
    </row>
    <row r="23" spans="2:33" ht="21" x14ac:dyDescent="0.35">
      <c r="B23" s="954"/>
      <c r="C23" s="956"/>
      <c r="D23" s="956"/>
      <c r="E23" s="964" t="s">
        <v>1305</v>
      </c>
      <c r="F23" s="956"/>
      <c r="G23" s="979" t="s">
        <v>1299</v>
      </c>
      <c r="H23" s="956" t="s">
        <v>1309</v>
      </c>
      <c r="I23" s="956"/>
      <c r="J23" s="956"/>
      <c r="K23" s="979">
        <v>60</v>
      </c>
      <c r="L23" s="956"/>
      <c r="M23" s="968" t="s">
        <v>1297</v>
      </c>
      <c r="N23" s="956"/>
      <c r="O23" s="956" t="s">
        <v>1296</v>
      </c>
      <c r="P23" s="956"/>
      <c r="Q23" s="968"/>
      <c r="R23" s="956"/>
      <c r="S23" s="956" t="s">
        <v>1310</v>
      </c>
      <c r="T23" s="956"/>
      <c r="U23" s="956"/>
      <c r="V23" s="956"/>
      <c r="W23" s="958"/>
      <c r="Y23" s="847" t="s">
        <v>1214</v>
      </c>
      <c r="Z23" s="848"/>
      <c r="AA23" s="850"/>
    </row>
    <row r="24" spans="2:33" ht="15.75" thickBot="1" x14ac:dyDescent="0.3">
      <c r="B24" s="980"/>
      <c r="C24" s="981"/>
      <c r="D24" s="981"/>
      <c r="E24" s="981"/>
      <c r="F24" s="981"/>
      <c r="G24" s="981"/>
      <c r="H24" s="981"/>
      <c r="I24" s="981"/>
      <c r="J24" s="981"/>
      <c r="K24" s="981"/>
      <c r="L24" s="981"/>
      <c r="M24" s="981"/>
      <c r="N24" s="981"/>
      <c r="O24" s="981"/>
      <c r="P24" s="981"/>
      <c r="Q24" s="981"/>
      <c r="R24" s="981"/>
      <c r="S24" s="981"/>
      <c r="T24" s="981"/>
      <c r="U24" s="981"/>
      <c r="V24" s="981"/>
      <c r="W24" s="982"/>
      <c r="Y24" s="860"/>
      <c r="AA24" s="983" t="s">
        <v>1219</v>
      </c>
    </row>
    <row r="25" spans="2:33" x14ac:dyDescent="0.25">
      <c r="Y25" s="860"/>
      <c r="AA25" s="959" t="s">
        <v>1222</v>
      </c>
    </row>
    <row r="26" spans="2:33" ht="21" x14ac:dyDescent="0.35">
      <c r="E26" s="984" t="s">
        <v>1300</v>
      </c>
      <c r="M26" s="985" t="s">
        <v>1299</v>
      </c>
      <c r="O26" t="s">
        <v>1026</v>
      </c>
      <c r="S26" t="s">
        <v>1250</v>
      </c>
      <c r="Y26" s="860" t="s">
        <v>1221</v>
      </c>
      <c r="AA26" s="986">
        <v>15</v>
      </c>
    </row>
    <row r="27" spans="2:33" x14ac:dyDescent="0.25">
      <c r="O27" t="s">
        <v>1311</v>
      </c>
      <c r="S27" t="s">
        <v>1250</v>
      </c>
      <c r="Y27" s="860" t="s">
        <v>1225</v>
      </c>
      <c r="AA27" s="986">
        <v>5</v>
      </c>
    </row>
    <row r="28" spans="2:33" x14ac:dyDescent="0.25">
      <c r="O28" t="s">
        <v>1312</v>
      </c>
      <c r="S28" t="s">
        <v>1250</v>
      </c>
      <c r="Y28" s="860" t="s">
        <v>1227</v>
      </c>
      <c r="AA28" s="986">
        <v>5</v>
      </c>
    </row>
    <row r="29" spans="2:33" x14ac:dyDescent="0.25">
      <c r="O29" t="s">
        <v>1313</v>
      </c>
      <c r="S29" t="s">
        <v>1250</v>
      </c>
      <c r="Y29" s="860" t="s">
        <v>1229</v>
      </c>
      <c r="AA29" s="986">
        <v>5</v>
      </c>
      <c r="AG29" s="773"/>
    </row>
    <row r="30" spans="2:33" ht="15.75" thickBot="1" x14ac:dyDescent="0.3">
      <c r="O30" t="s">
        <v>1314</v>
      </c>
      <c r="P30" t="s">
        <v>1315</v>
      </c>
      <c r="S30" t="s">
        <v>1250</v>
      </c>
      <c r="Y30" s="864" t="s">
        <v>1230</v>
      </c>
      <c r="Z30" s="865" t="s">
        <v>1231</v>
      </c>
      <c r="AA30" s="987">
        <v>5</v>
      </c>
      <c r="AG30" s="773"/>
    </row>
    <row r="31" spans="2:33" ht="15.75" thickBot="1" x14ac:dyDescent="0.3">
      <c r="AG31" s="773"/>
    </row>
    <row r="32" spans="2:33" x14ac:dyDescent="0.25">
      <c r="Y32" s="847" t="s">
        <v>1220</v>
      </c>
      <c r="Z32" s="848"/>
      <c r="AA32" s="849"/>
      <c r="AB32" s="850"/>
    </row>
    <row r="33" spans="25:35" x14ac:dyDescent="0.25">
      <c r="Y33" s="856"/>
      <c r="Z33" s="857" t="s">
        <v>1223</v>
      </c>
      <c r="AA33" s="857" t="s">
        <v>1224</v>
      </c>
      <c r="AB33" s="858" t="s">
        <v>649</v>
      </c>
    </row>
    <row r="34" spans="25:35" x14ac:dyDescent="0.25">
      <c r="Y34" s="860" t="s">
        <v>1226</v>
      </c>
      <c r="Z34">
        <v>3150</v>
      </c>
      <c r="AA34">
        <v>40</v>
      </c>
      <c r="AB34" s="861">
        <f>AA34/Z34</f>
        <v>1.2698412698412698E-2</v>
      </c>
    </row>
    <row r="35" spans="25:35" x14ac:dyDescent="0.25">
      <c r="Y35" s="860" t="s">
        <v>1228</v>
      </c>
      <c r="Z35" s="862">
        <v>1000</v>
      </c>
      <c r="AA35">
        <v>30</v>
      </c>
      <c r="AB35" s="863">
        <f t="shared" ref="AB35" si="2">AA35/Z35</f>
        <v>0.03</v>
      </c>
    </row>
    <row r="36" spans="25:35" ht="15.75" thickBot="1" x14ac:dyDescent="0.3">
      <c r="Y36" s="864"/>
      <c r="Z36" s="865"/>
      <c r="AA36" s="865">
        <f>SUM(AA34:AA35)</f>
        <v>70</v>
      </c>
      <c r="AB36" s="866">
        <f>SUM(AB34:AB35)</f>
        <v>4.2698412698412694E-2</v>
      </c>
    </row>
    <row r="37" spans="25:35" ht="15.75" thickBot="1" x14ac:dyDescent="0.3"/>
    <row r="38" spans="25:35" x14ac:dyDescent="0.25">
      <c r="Y38" s="847" t="s">
        <v>1220</v>
      </c>
      <c r="Z38" s="848"/>
      <c r="AA38" s="849"/>
      <c r="AB38" s="850"/>
      <c r="AC38" s="988"/>
      <c r="AD38" s="848"/>
      <c r="AE38" s="850"/>
      <c r="AF38" s="988"/>
      <c r="AG38" s="848"/>
      <c r="AH38" s="848"/>
      <c r="AI38" s="989" t="s">
        <v>1316</v>
      </c>
    </row>
    <row r="39" spans="25:35" x14ac:dyDescent="0.25">
      <c r="Y39" s="856"/>
      <c r="Z39" s="857" t="s">
        <v>1223</v>
      </c>
      <c r="AA39" s="857" t="s">
        <v>1224</v>
      </c>
      <c r="AB39" s="858" t="s">
        <v>649</v>
      </c>
      <c r="AC39" s="990" t="s">
        <v>1317</v>
      </c>
      <c r="AE39" s="858" t="s">
        <v>1318</v>
      </c>
      <c r="AF39" s="860"/>
      <c r="AG39" s="857" t="s">
        <v>1319</v>
      </c>
      <c r="AH39" s="857" t="s">
        <v>1320</v>
      </c>
      <c r="AI39" s="858" t="s">
        <v>700</v>
      </c>
    </row>
    <row r="40" spans="25:35" x14ac:dyDescent="0.25">
      <c r="Y40" s="860" t="s">
        <v>1226</v>
      </c>
      <c r="Z40">
        <v>3150</v>
      </c>
      <c r="AA40">
        <v>40</v>
      </c>
      <c r="AB40" s="861">
        <f>AA40/Z40</f>
        <v>1.2698412698412698E-2</v>
      </c>
      <c r="AC40" s="991">
        <f>1/AB42*AA40</f>
        <v>936.80297397769527</v>
      </c>
      <c r="AE40" s="861">
        <f>AC40/Z40</f>
        <v>0.29739776951672864</v>
      </c>
      <c r="AF40" s="860" t="s">
        <v>1321</v>
      </c>
      <c r="AG40" s="773">
        <v>7.31</v>
      </c>
      <c r="AH40">
        <f>1000/20*AG40</f>
        <v>365.5</v>
      </c>
      <c r="AI40" s="992">
        <f>1000/AC40*AH40</f>
        <v>390.15674603174602</v>
      </c>
    </row>
    <row r="41" spans="25:35" x14ac:dyDescent="0.25">
      <c r="Y41" s="860" t="s">
        <v>1228</v>
      </c>
      <c r="Z41" s="862">
        <v>1000</v>
      </c>
      <c r="AA41">
        <v>30</v>
      </c>
      <c r="AB41" s="863">
        <f t="shared" ref="AB41" si="3">AA41/Z41</f>
        <v>0.03</v>
      </c>
      <c r="AC41" s="991">
        <f>1/AB42*AA41</f>
        <v>702.60223048327146</v>
      </c>
      <c r="AE41" s="863">
        <f>AC41/Z41</f>
        <v>0.70260223048327142</v>
      </c>
      <c r="AF41" s="860" t="s">
        <v>1228</v>
      </c>
      <c r="AG41">
        <v>0</v>
      </c>
      <c r="AH41">
        <v>0</v>
      </c>
      <c r="AI41" s="993">
        <f>1000/AC41*AH41</f>
        <v>0</v>
      </c>
    </row>
    <row r="42" spans="25:35" ht="15.75" thickBot="1" x14ac:dyDescent="0.3">
      <c r="Y42" s="864"/>
      <c r="Z42" s="865"/>
      <c r="AA42" s="865">
        <f>SUM(AA40:AA41)</f>
        <v>70</v>
      </c>
      <c r="AB42" s="866">
        <f>SUM(AB40:AB41)</f>
        <v>4.2698412698412694E-2</v>
      </c>
      <c r="AC42" s="864"/>
      <c r="AD42" s="865"/>
      <c r="AE42" s="994">
        <f>SUM(AE40:AE41)</f>
        <v>1</v>
      </c>
      <c r="AF42" s="864"/>
      <c r="AG42" s="865"/>
      <c r="AH42" s="865"/>
      <c r="AI42" s="994">
        <f>SUM(AI40:AI41)</f>
        <v>390.15674603174602</v>
      </c>
    </row>
  </sheetData>
  <sheetProtection algorithmName="SHA-512" hashValue="7hn7miwSWhAAN4rCjkaFbuh7ne2+2o33NH12LgNPCQS3yCZ5xi9o8s2icuAP5DBOhQp5npNm74eKHUAF+dLdzA==" saltValue="hjnXBcD5ycQkQWyz3HziWQ==" spinCount="100000" sheet="1" objects="1" scenarios="1"/>
  <pageMargins left="0.25" right="0.25" top="0.75" bottom="0.75" header="0.3" footer="0.3"/>
  <pageSetup paperSize="9" scale="57" orientation="landscape" r:id="rId1"/>
  <headerFooter>
    <oddHeader>&amp;C&amp;"Arial"&amp;12&amp;KA80000 OFFICIAL&amp;1#_x000D_</oddHead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tabColor rgb="FF92D050"/>
  </sheetPr>
  <dimension ref="A1:O119"/>
  <sheetViews>
    <sheetView workbookViewId="0">
      <selection activeCell="N19" sqref="N19"/>
    </sheetView>
  </sheetViews>
  <sheetFormatPr defaultRowHeight="15" x14ac:dyDescent="0.25"/>
  <cols>
    <col min="1" max="1" width="18.5703125" customWidth="1"/>
    <col min="3" max="3" width="10.5703125" bestFit="1" customWidth="1"/>
    <col min="8" max="8" width="10.85546875" customWidth="1"/>
    <col min="9" max="9" width="15.140625" customWidth="1"/>
  </cols>
  <sheetData>
    <row r="1" spans="1:9" ht="21" x14ac:dyDescent="0.35">
      <c r="A1" s="753" t="s">
        <v>1059</v>
      </c>
    </row>
    <row r="2" spans="1:9" x14ac:dyDescent="0.25">
      <c r="A2" s="56"/>
      <c r="H2" s="752" t="s">
        <v>1000</v>
      </c>
    </row>
    <row r="3" spans="1:9" x14ac:dyDescent="0.25">
      <c r="A3" s="56" t="s">
        <v>1060</v>
      </c>
      <c r="B3">
        <v>0.15</v>
      </c>
      <c r="H3" s="754"/>
      <c r="I3" s="755">
        <f t="shared" ref="I3" si="0">B3*H3</f>
        <v>0</v>
      </c>
    </row>
    <row r="4" spans="1:9" s="56" customFormat="1" x14ac:dyDescent="0.25">
      <c r="A4" s="56" t="s">
        <v>1061</v>
      </c>
      <c r="H4" s="756">
        <f>SUM(H$17:H119)</f>
        <v>0</v>
      </c>
      <c r="I4" s="757">
        <f>SUM(I$17:I119)</f>
        <v>0</v>
      </c>
    </row>
    <row r="5" spans="1:9" s="56" customFormat="1" x14ac:dyDescent="0.25">
      <c r="A5" s="56" t="s">
        <v>1062</v>
      </c>
      <c r="B5"/>
      <c r="C5"/>
      <c r="D5"/>
      <c r="E5"/>
      <c r="F5"/>
      <c r="G5"/>
      <c r="H5" s="754">
        <f>H3+H4</f>
        <v>0</v>
      </c>
      <c r="I5" s="755">
        <f>I3+I4</f>
        <v>0</v>
      </c>
    </row>
    <row r="6" spans="1:9" s="56" customFormat="1" x14ac:dyDescent="0.25">
      <c r="H6" s="754"/>
      <c r="I6" s="755"/>
    </row>
    <row r="7" spans="1:9" s="56" customFormat="1" x14ac:dyDescent="0.25">
      <c r="A7" s="56" t="s">
        <v>1063</v>
      </c>
      <c r="B7"/>
      <c r="C7"/>
      <c r="D7"/>
      <c r="E7"/>
      <c r="F7"/>
      <c r="G7"/>
      <c r="H7"/>
      <c r="I7" s="757">
        <v>0</v>
      </c>
    </row>
    <row r="8" spans="1:9" s="56" customFormat="1" x14ac:dyDescent="0.25">
      <c r="A8" s="56" t="s">
        <v>1064</v>
      </c>
      <c r="H8" s="754"/>
      <c r="I8" s="755">
        <f>I5-I7</f>
        <v>0</v>
      </c>
    </row>
    <row r="9" spans="1:9" s="56" customFormat="1" x14ac:dyDescent="0.25">
      <c r="H9" s="754"/>
      <c r="I9" s="755"/>
    </row>
    <row r="10" spans="1:9" s="56" customFormat="1" x14ac:dyDescent="0.25">
      <c r="A10" s="56" t="s">
        <v>1065</v>
      </c>
      <c r="H10" s="754"/>
      <c r="I10" s="758">
        <f>'Summary Page'!J73</f>
        <v>0</v>
      </c>
    </row>
    <row r="11" spans="1:9" s="56" customFormat="1" ht="15.75" thickBot="1" x14ac:dyDescent="0.3">
      <c r="H11" s="754"/>
      <c r="I11" s="755"/>
    </row>
    <row r="12" spans="1:9" s="56" customFormat="1" ht="15.75" thickBot="1" x14ac:dyDescent="0.3">
      <c r="A12" s="759" t="s">
        <v>1066</v>
      </c>
      <c r="B12" s="760"/>
      <c r="C12" s="760"/>
      <c r="D12" s="760"/>
      <c r="E12" s="760"/>
      <c r="F12" s="760"/>
      <c r="G12" s="760"/>
      <c r="H12" s="761"/>
      <c r="I12" s="762">
        <f>IF(I10-I8&lt;0,0,I10-I8)</f>
        <v>0</v>
      </c>
    </row>
    <row r="13" spans="1:9" s="56" customFormat="1" x14ac:dyDescent="0.25">
      <c r="H13" s="754"/>
      <c r="I13" s="755"/>
    </row>
    <row r="14" spans="1:9" s="56" customFormat="1" x14ac:dyDescent="0.25">
      <c r="A14" s="763" t="s">
        <v>1067</v>
      </c>
      <c r="H14" s="754"/>
      <c r="I14" s="755"/>
    </row>
    <row r="15" spans="1:9" x14ac:dyDescent="0.25">
      <c r="C15" s="752" t="s">
        <v>1206</v>
      </c>
      <c r="D15" s="752" t="s">
        <v>1068</v>
      </c>
      <c r="E15" s="752" t="s">
        <v>1068</v>
      </c>
      <c r="F15" s="752" t="s">
        <v>1068</v>
      </c>
      <c r="G15" s="752" t="s">
        <v>1068</v>
      </c>
    </row>
    <row r="16" spans="1:9" x14ac:dyDescent="0.25">
      <c r="A16" s="56" t="s">
        <v>1069</v>
      </c>
      <c r="B16" s="764" t="s">
        <v>648</v>
      </c>
      <c r="C16" s="764" t="s">
        <v>1000</v>
      </c>
      <c r="D16" s="764" t="s">
        <v>1000</v>
      </c>
      <c r="E16" s="764" t="s">
        <v>1000</v>
      </c>
      <c r="F16" s="764" t="s">
        <v>1000</v>
      </c>
      <c r="G16" s="764" t="s">
        <v>1000</v>
      </c>
      <c r="H16" s="764" t="s">
        <v>53</v>
      </c>
      <c r="I16" s="764" t="s">
        <v>1070</v>
      </c>
    </row>
    <row r="17" spans="1:15" s="59" customFormat="1" x14ac:dyDescent="0.25">
      <c r="A17" s="59" t="s">
        <v>1181</v>
      </c>
      <c r="B17" s="765">
        <v>0.15</v>
      </c>
      <c r="C17" s="766"/>
      <c r="D17" s="767"/>
      <c r="E17" s="767"/>
      <c r="F17" s="767"/>
      <c r="G17" s="767"/>
      <c r="H17" s="766">
        <f t="shared" ref="H17:H26" si="1">SUM(C17:G17)</f>
        <v>0</v>
      </c>
      <c r="I17" s="768">
        <f t="shared" ref="I17:I26" si="2">B17*H17</f>
        <v>0</v>
      </c>
      <c r="N17"/>
      <c r="O17" s="769"/>
    </row>
    <row r="18" spans="1:15" s="59" customFormat="1" x14ac:dyDescent="0.25">
      <c r="A18" s="59" t="s">
        <v>1180</v>
      </c>
      <c r="B18" s="765">
        <v>0.15</v>
      </c>
      <c r="C18" s="766"/>
      <c r="D18" s="767"/>
      <c r="E18" s="767"/>
      <c r="F18" s="767"/>
      <c r="G18" s="767"/>
      <c r="H18" s="766">
        <f t="shared" si="1"/>
        <v>0</v>
      </c>
      <c r="I18" s="768">
        <f t="shared" si="2"/>
        <v>0</v>
      </c>
      <c r="N18"/>
      <c r="O18" s="769"/>
    </row>
    <row r="19" spans="1:15" s="59" customFormat="1" x14ac:dyDescent="0.25">
      <c r="A19" s="59" t="s">
        <v>1179</v>
      </c>
      <c r="B19" s="765">
        <v>0.15</v>
      </c>
      <c r="C19" s="766"/>
      <c r="E19" s="764"/>
      <c r="F19" s="764"/>
      <c r="G19" s="764"/>
      <c r="H19" s="766">
        <f t="shared" si="1"/>
        <v>0</v>
      </c>
      <c r="I19" s="768">
        <f t="shared" si="2"/>
        <v>0</v>
      </c>
      <c r="N19"/>
      <c r="O19" s="769"/>
    </row>
    <row r="20" spans="1:15" s="59" customFormat="1" x14ac:dyDescent="0.25">
      <c r="A20" s="59" t="s">
        <v>1178</v>
      </c>
      <c r="B20" s="765">
        <v>0.15</v>
      </c>
      <c r="C20" s="766"/>
      <c r="E20" s="764"/>
      <c r="F20" s="764"/>
      <c r="G20" s="764"/>
      <c r="H20" s="766">
        <f t="shared" si="1"/>
        <v>0</v>
      </c>
      <c r="I20" s="768">
        <f t="shared" si="2"/>
        <v>0</v>
      </c>
      <c r="N20"/>
      <c r="O20" s="769"/>
    </row>
    <row r="21" spans="1:15" s="59" customFormat="1" x14ac:dyDescent="0.25">
      <c r="A21" s="59" t="s">
        <v>1177</v>
      </c>
      <c r="B21" s="765">
        <v>0.15</v>
      </c>
      <c r="C21" s="766"/>
      <c r="D21" s="767"/>
      <c r="E21" s="767"/>
      <c r="F21" s="767"/>
      <c r="G21" s="767"/>
      <c r="H21" s="766">
        <f t="shared" si="1"/>
        <v>0</v>
      </c>
      <c r="I21" s="768">
        <f t="shared" si="2"/>
        <v>0</v>
      </c>
      <c r="N21"/>
      <c r="O21" s="769"/>
    </row>
    <row r="22" spans="1:15" s="59" customFormat="1" x14ac:dyDescent="0.25">
      <c r="A22" s="59" t="s">
        <v>1176</v>
      </c>
      <c r="B22" s="765">
        <v>0.15</v>
      </c>
      <c r="C22" s="766"/>
      <c r="E22" s="764"/>
      <c r="F22" s="764"/>
      <c r="G22" s="764"/>
      <c r="H22" s="766">
        <f t="shared" si="1"/>
        <v>0</v>
      </c>
      <c r="I22" s="768">
        <f t="shared" si="2"/>
        <v>0</v>
      </c>
      <c r="N22"/>
      <c r="O22" s="769"/>
    </row>
    <row r="23" spans="1:15" s="59" customFormat="1" x14ac:dyDescent="0.25">
      <c r="A23" s="59" t="s">
        <v>1175</v>
      </c>
      <c r="B23" s="765">
        <v>0.15</v>
      </c>
      <c r="C23" s="766"/>
      <c r="E23" s="764"/>
      <c r="F23" s="764"/>
      <c r="G23" s="764"/>
      <c r="H23" s="766">
        <f t="shared" si="1"/>
        <v>0</v>
      </c>
      <c r="I23" s="768">
        <f t="shared" si="2"/>
        <v>0</v>
      </c>
      <c r="N23"/>
      <c r="O23" s="769"/>
    </row>
    <row r="24" spans="1:15" s="59" customFormat="1" x14ac:dyDescent="0.25">
      <c r="A24" s="59" t="s">
        <v>1174</v>
      </c>
      <c r="B24" s="765">
        <v>0.15</v>
      </c>
      <c r="C24" s="766"/>
      <c r="D24" s="767"/>
      <c r="E24" s="767"/>
      <c r="F24" s="767"/>
      <c r="G24" s="767"/>
      <c r="H24" s="766">
        <f t="shared" si="1"/>
        <v>0</v>
      </c>
      <c r="I24" s="768">
        <f t="shared" si="2"/>
        <v>0</v>
      </c>
      <c r="N24"/>
      <c r="O24" s="769"/>
    </row>
    <row r="25" spans="1:15" s="59" customFormat="1" x14ac:dyDescent="0.25">
      <c r="A25" s="59" t="s">
        <v>1169</v>
      </c>
      <c r="B25" s="765">
        <v>0.15</v>
      </c>
      <c r="C25" s="766"/>
      <c r="E25" s="764"/>
      <c r="F25" s="764"/>
      <c r="G25" s="764"/>
      <c r="H25" s="766">
        <f t="shared" si="1"/>
        <v>0</v>
      </c>
      <c r="I25" s="768">
        <f t="shared" si="2"/>
        <v>0</v>
      </c>
      <c r="N25"/>
      <c r="O25" s="769"/>
    </row>
    <row r="26" spans="1:15" s="59" customFormat="1" x14ac:dyDescent="0.25">
      <c r="A26" s="59" t="s">
        <v>1168</v>
      </c>
      <c r="B26" s="765">
        <v>0.15</v>
      </c>
      <c r="C26" s="766"/>
      <c r="E26" s="764"/>
      <c r="F26" s="764"/>
      <c r="G26" s="764"/>
      <c r="H26" s="766">
        <f t="shared" si="1"/>
        <v>0</v>
      </c>
      <c r="I26" s="768">
        <f t="shared" si="2"/>
        <v>0</v>
      </c>
      <c r="N26"/>
      <c r="O26" s="769"/>
    </row>
    <row r="27" spans="1:15" s="59" customFormat="1" x14ac:dyDescent="0.25">
      <c r="A27" s="59" t="s">
        <v>1071</v>
      </c>
      <c r="B27" s="765">
        <v>0.15</v>
      </c>
      <c r="C27" s="766"/>
      <c r="D27" s="767"/>
      <c r="E27" s="767"/>
      <c r="F27" s="767"/>
      <c r="G27" s="767"/>
      <c r="H27" s="766">
        <f t="shared" ref="H27:H31" si="3">SUM(C27:G27)</f>
        <v>0</v>
      </c>
      <c r="I27" s="768">
        <f>B27*H27</f>
        <v>0</v>
      </c>
      <c r="N27"/>
      <c r="O27" s="769"/>
    </row>
    <row r="28" spans="1:15" x14ac:dyDescent="0.25">
      <c r="A28" s="59" t="s">
        <v>1072</v>
      </c>
      <c r="B28" s="765">
        <v>0.15</v>
      </c>
      <c r="C28" s="766"/>
      <c r="D28" s="59"/>
      <c r="E28" s="764"/>
      <c r="F28" s="764"/>
      <c r="G28" s="764"/>
      <c r="H28" s="766">
        <f t="shared" si="3"/>
        <v>0</v>
      </c>
      <c r="I28" s="768">
        <f>B28*H28</f>
        <v>0</v>
      </c>
      <c r="O28" s="769"/>
    </row>
    <row r="29" spans="1:15" x14ac:dyDescent="0.25">
      <c r="A29" s="59" t="s">
        <v>1073</v>
      </c>
      <c r="B29" s="765">
        <v>0.15</v>
      </c>
      <c r="C29" s="766"/>
      <c r="D29" s="59"/>
      <c r="E29" s="764"/>
      <c r="F29" s="764"/>
      <c r="G29" s="764"/>
      <c r="H29" s="766">
        <f t="shared" si="3"/>
        <v>0</v>
      </c>
      <c r="I29" s="768">
        <f t="shared" ref="I29:I31" si="4">B29*H29</f>
        <v>0</v>
      </c>
      <c r="O29" s="769"/>
    </row>
    <row r="30" spans="1:15" x14ac:dyDescent="0.25">
      <c r="A30" s="59" t="s">
        <v>1074</v>
      </c>
      <c r="B30" s="765">
        <v>0.15</v>
      </c>
      <c r="C30" s="766"/>
      <c r="D30" s="59"/>
      <c r="E30" s="764"/>
      <c r="F30" s="764"/>
      <c r="G30" s="764"/>
      <c r="H30" s="766">
        <f t="shared" si="3"/>
        <v>0</v>
      </c>
      <c r="I30" s="768">
        <f t="shared" si="4"/>
        <v>0</v>
      </c>
      <c r="O30" s="769"/>
    </row>
    <row r="31" spans="1:15" x14ac:dyDescent="0.25">
      <c r="A31" s="59" t="s">
        <v>1075</v>
      </c>
      <c r="B31" s="765">
        <v>0.15</v>
      </c>
      <c r="C31" s="766"/>
      <c r="D31" s="59"/>
      <c r="E31" s="764"/>
      <c r="F31" s="764"/>
      <c r="G31" s="764"/>
      <c r="H31" s="766">
        <f t="shared" si="3"/>
        <v>0</v>
      </c>
      <c r="I31" s="768">
        <f t="shared" si="4"/>
        <v>0</v>
      </c>
      <c r="O31" s="769"/>
    </row>
    <row r="32" spans="1:15" x14ac:dyDescent="0.25">
      <c r="A32" t="s">
        <v>1076</v>
      </c>
      <c r="B32" s="765">
        <v>0.15</v>
      </c>
      <c r="C32" s="766"/>
      <c r="D32" s="59"/>
      <c r="E32" s="766"/>
      <c r="F32" s="766"/>
      <c r="H32" s="766">
        <f>SUM(C32:G32)</f>
        <v>0</v>
      </c>
      <c r="I32" s="768">
        <f>B32*H32</f>
        <v>0</v>
      </c>
      <c r="O32" s="769"/>
    </row>
    <row r="33" spans="1:15" x14ac:dyDescent="0.25">
      <c r="A33" t="s">
        <v>1077</v>
      </c>
      <c r="B33">
        <v>0.21</v>
      </c>
      <c r="C33" s="766"/>
      <c r="D33" s="59"/>
      <c r="E33" s="766"/>
      <c r="F33" s="766"/>
      <c r="H33" s="766">
        <f t="shared" ref="H33:H96" si="5">SUM(C33:G33)</f>
        <v>0</v>
      </c>
      <c r="I33" s="768">
        <f t="shared" ref="I33:I96" si="6">B33*H33</f>
        <v>0</v>
      </c>
      <c r="O33" s="769"/>
    </row>
    <row r="34" spans="1:15" x14ac:dyDescent="0.25">
      <c r="A34" t="s">
        <v>1078</v>
      </c>
      <c r="B34">
        <v>0.21</v>
      </c>
      <c r="C34" s="766"/>
      <c r="D34" s="59"/>
      <c r="E34" s="766"/>
      <c r="F34" s="766"/>
      <c r="H34" s="766">
        <f t="shared" si="5"/>
        <v>0</v>
      </c>
      <c r="I34" s="768">
        <f t="shared" si="6"/>
        <v>0</v>
      </c>
      <c r="O34" s="769"/>
    </row>
    <row r="35" spans="1:15" x14ac:dyDescent="0.25">
      <c r="A35" t="s">
        <v>1079</v>
      </c>
      <c r="B35">
        <v>0.21</v>
      </c>
      <c r="C35" s="766"/>
      <c r="D35" s="59"/>
      <c r="E35" s="766"/>
      <c r="F35" s="766"/>
      <c r="H35" s="766">
        <f t="shared" si="5"/>
        <v>0</v>
      </c>
      <c r="I35" s="768">
        <f t="shared" si="6"/>
        <v>0</v>
      </c>
      <c r="O35" s="769"/>
    </row>
    <row r="36" spans="1:15" x14ac:dyDescent="0.25">
      <c r="A36" t="s">
        <v>1080</v>
      </c>
      <c r="B36">
        <v>0.21</v>
      </c>
      <c r="C36" s="766"/>
      <c r="D36" s="59"/>
      <c r="E36" s="766"/>
      <c r="F36" s="766"/>
      <c r="H36" s="766">
        <f t="shared" si="5"/>
        <v>0</v>
      </c>
      <c r="I36" s="768">
        <f t="shared" si="6"/>
        <v>0</v>
      </c>
      <c r="O36" s="769"/>
    </row>
    <row r="37" spans="1:15" x14ac:dyDescent="0.25">
      <c r="A37" t="s">
        <v>1081</v>
      </c>
      <c r="B37">
        <v>0.21</v>
      </c>
      <c r="C37" s="766"/>
      <c r="D37" s="59"/>
      <c r="E37" s="766"/>
      <c r="F37" s="766"/>
      <c r="H37" s="766">
        <f t="shared" si="5"/>
        <v>0</v>
      </c>
      <c r="I37" s="768">
        <f t="shared" si="6"/>
        <v>0</v>
      </c>
      <c r="O37" s="769"/>
    </row>
    <row r="38" spans="1:15" x14ac:dyDescent="0.25">
      <c r="A38" t="s">
        <v>1082</v>
      </c>
      <c r="B38">
        <v>0.21</v>
      </c>
      <c r="C38" s="766"/>
      <c r="D38" s="59"/>
      <c r="E38" s="766"/>
      <c r="F38" s="766"/>
      <c r="H38" s="766">
        <f t="shared" si="5"/>
        <v>0</v>
      </c>
      <c r="I38" s="768">
        <f t="shared" si="6"/>
        <v>0</v>
      </c>
      <c r="O38" s="769"/>
    </row>
    <row r="39" spans="1:15" x14ac:dyDescent="0.25">
      <c r="A39" t="s">
        <v>1083</v>
      </c>
      <c r="B39">
        <v>0.21</v>
      </c>
      <c r="C39" s="766"/>
      <c r="D39" s="59"/>
      <c r="E39" s="766"/>
      <c r="F39" s="766"/>
      <c r="H39" s="766">
        <f t="shared" si="5"/>
        <v>0</v>
      </c>
      <c r="I39" s="768">
        <f t="shared" si="6"/>
        <v>0</v>
      </c>
      <c r="O39" s="769"/>
    </row>
    <row r="40" spans="1:15" x14ac:dyDescent="0.25">
      <c r="A40" t="s">
        <v>1084</v>
      </c>
      <c r="B40">
        <v>0.21</v>
      </c>
      <c r="D40" s="59"/>
      <c r="E40" s="766"/>
      <c r="F40" s="766"/>
      <c r="H40" s="766">
        <f t="shared" si="5"/>
        <v>0</v>
      </c>
      <c r="I40" s="768">
        <f t="shared" si="6"/>
        <v>0</v>
      </c>
      <c r="O40" s="769"/>
    </row>
    <row r="41" spans="1:15" x14ac:dyDescent="0.25">
      <c r="A41" t="s">
        <v>1085</v>
      </c>
      <c r="B41">
        <v>0.21</v>
      </c>
      <c r="C41" s="766"/>
      <c r="D41" s="59"/>
      <c r="E41" s="766"/>
      <c r="F41" s="766"/>
      <c r="H41" s="766">
        <f t="shared" si="5"/>
        <v>0</v>
      </c>
      <c r="I41" s="768">
        <f t="shared" si="6"/>
        <v>0</v>
      </c>
      <c r="O41" s="769"/>
    </row>
    <row r="42" spans="1:15" x14ac:dyDescent="0.25">
      <c r="A42" t="s">
        <v>1086</v>
      </c>
      <c r="B42">
        <v>0.21</v>
      </c>
      <c r="C42" s="766"/>
      <c r="D42" s="59"/>
      <c r="E42" s="766"/>
      <c r="F42" s="766"/>
      <c r="H42" s="766">
        <f t="shared" si="5"/>
        <v>0</v>
      </c>
      <c r="I42" s="768">
        <f t="shared" si="6"/>
        <v>0</v>
      </c>
      <c r="O42" s="769"/>
    </row>
    <row r="43" spans="1:15" x14ac:dyDescent="0.25">
      <c r="A43" t="s">
        <v>1087</v>
      </c>
      <c r="B43">
        <v>0.21</v>
      </c>
      <c r="C43" s="766"/>
      <c r="D43" s="59"/>
      <c r="E43" s="766"/>
      <c r="F43" s="766"/>
      <c r="H43" s="766">
        <f t="shared" si="5"/>
        <v>0</v>
      </c>
      <c r="I43" s="768">
        <f t="shared" si="6"/>
        <v>0</v>
      </c>
      <c r="O43" s="769"/>
    </row>
    <row r="44" spans="1:15" x14ac:dyDescent="0.25">
      <c r="A44" t="s">
        <v>1088</v>
      </c>
      <c r="B44">
        <v>0.21</v>
      </c>
      <c r="C44" s="766"/>
      <c r="D44" s="59"/>
      <c r="E44" s="766"/>
      <c r="F44" s="766"/>
      <c r="H44" s="766">
        <f t="shared" si="5"/>
        <v>0</v>
      </c>
      <c r="I44" s="768">
        <f t="shared" si="6"/>
        <v>0</v>
      </c>
      <c r="O44" s="769"/>
    </row>
    <row r="45" spans="1:15" x14ac:dyDescent="0.25">
      <c r="A45" t="s">
        <v>1089</v>
      </c>
      <c r="B45">
        <v>0.21</v>
      </c>
      <c r="C45" s="766"/>
      <c r="D45" s="59"/>
      <c r="E45" s="766"/>
      <c r="F45" s="766"/>
      <c r="H45" s="766">
        <f t="shared" si="5"/>
        <v>0</v>
      </c>
      <c r="I45" s="768">
        <f t="shared" si="6"/>
        <v>0</v>
      </c>
      <c r="O45" s="769"/>
    </row>
    <row r="46" spans="1:15" x14ac:dyDescent="0.25">
      <c r="A46" t="s">
        <v>1090</v>
      </c>
      <c r="B46">
        <v>0.21</v>
      </c>
      <c r="C46" s="766"/>
      <c r="D46" s="59"/>
      <c r="E46" s="766"/>
      <c r="F46" s="766"/>
      <c r="H46" s="766">
        <f t="shared" si="5"/>
        <v>0</v>
      </c>
      <c r="I46" s="768">
        <f t="shared" si="6"/>
        <v>0</v>
      </c>
      <c r="O46" s="769"/>
    </row>
    <row r="47" spans="1:15" x14ac:dyDescent="0.25">
      <c r="A47" t="s">
        <v>1091</v>
      </c>
      <c r="B47">
        <v>0.21</v>
      </c>
      <c r="C47" s="766"/>
      <c r="D47" s="59"/>
      <c r="E47" s="766"/>
      <c r="F47" s="766"/>
      <c r="H47" s="766">
        <f t="shared" si="5"/>
        <v>0</v>
      </c>
      <c r="I47" s="768">
        <f t="shared" si="6"/>
        <v>0</v>
      </c>
      <c r="O47" s="769"/>
    </row>
    <row r="48" spans="1:15" x14ac:dyDescent="0.25">
      <c r="A48" t="s">
        <v>1092</v>
      </c>
      <c r="B48">
        <v>0.21</v>
      </c>
      <c r="C48" s="766"/>
      <c r="D48" s="59"/>
      <c r="E48" s="766"/>
      <c r="F48" s="766"/>
      <c r="H48" s="766">
        <f t="shared" si="5"/>
        <v>0</v>
      </c>
      <c r="I48" s="768">
        <f t="shared" si="6"/>
        <v>0</v>
      </c>
      <c r="O48" s="769"/>
    </row>
    <row r="49" spans="1:15" x14ac:dyDescent="0.25">
      <c r="A49" t="s">
        <v>1093</v>
      </c>
      <c r="B49">
        <v>0.21</v>
      </c>
      <c r="C49" s="766"/>
      <c r="D49" s="59"/>
      <c r="E49" s="766"/>
      <c r="F49" s="766"/>
      <c r="H49" s="766">
        <f t="shared" si="5"/>
        <v>0</v>
      </c>
      <c r="I49" s="768">
        <f t="shared" si="6"/>
        <v>0</v>
      </c>
      <c r="O49" s="769"/>
    </row>
    <row r="50" spans="1:15" x14ac:dyDescent="0.25">
      <c r="A50" t="s">
        <v>1094</v>
      </c>
      <c r="B50">
        <v>0.21</v>
      </c>
      <c r="C50" s="766"/>
      <c r="D50" s="59"/>
      <c r="E50" s="766"/>
      <c r="F50" s="766"/>
      <c r="H50" s="766">
        <f t="shared" si="5"/>
        <v>0</v>
      </c>
      <c r="I50" s="768">
        <f t="shared" si="6"/>
        <v>0</v>
      </c>
      <c r="O50" s="769"/>
    </row>
    <row r="51" spans="1:15" x14ac:dyDescent="0.25">
      <c r="A51" t="s">
        <v>1095</v>
      </c>
      <c r="B51">
        <v>0.21</v>
      </c>
      <c r="C51" s="766"/>
      <c r="D51" s="59"/>
      <c r="E51" s="766"/>
      <c r="F51" s="766"/>
      <c r="H51" s="766">
        <f t="shared" si="5"/>
        <v>0</v>
      </c>
      <c r="I51" s="768">
        <f t="shared" si="6"/>
        <v>0</v>
      </c>
      <c r="O51" s="769"/>
    </row>
    <row r="52" spans="1:15" x14ac:dyDescent="0.25">
      <c r="A52" t="s">
        <v>1096</v>
      </c>
      <c r="B52">
        <v>0.21</v>
      </c>
      <c r="C52" s="766"/>
      <c r="D52" s="59"/>
      <c r="E52" s="766"/>
      <c r="F52" s="766"/>
      <c r="H52" s="766">
        <f t="shared" si="5"/>
        <v>0</v>
      </c>
      <c r="I52" s="768">
        <f t="shared" si="6"/>
        <v>0</v>
      </c>
      <c r="O52" s="769"/>
    </row>
    <row r="53" spans="1:15" x14ac:dyDescent="0.25">
      <c r="A53" t="s">
        <v>1097</v>
      </c>
      <c r="B53">
        <v>0.21</v>
      </c>
      <c r="C53" s="766"/>
      <c r="D53" s="59"/>
      <c r="E53" s="766"/>
      <c r="F53" s="766"/>
      <c r="H53" s="766">
        <f t="shared" si="5"/>
        <v>0</v>
      </c>
      <c r="I53" s="768">
        <f t="shared" si="6"/>
        <v>0</v>
      </c>
      <c r="O53" s="769"/>
    </row>
    <row r="54" spans="1:15" x14ac:dyDescent="0.25">
      <c r="A54" t="s">
        <v>1098</v>
      </c>
      <c r="B54">
        <v>0.21</v>
      </c>
      <c r="C54" s="766"/>
      <c r="D54" s="59"/>
      <c r="E54" s="766"/>
      <c r="F54" s="766"/>
      <c r="H54" s="766">
        <f t="shared" si="5"/>
        <v>0</v>
      </c>
      <c r="I54" s="768">
        <f t="shared" si="6"/>
        <v>0</v>
      </c>
      <c r="O54" s="769"/>
    </row>
    <row r="55" spans="1:15" x14ac:dyDescent="0.25">
      <c r="A55" t="s">
        <v>1099</v>
      </c>
      <c r="B55">
        <v>0.1</v>
      </c>
      <c r="C55" s="766"/>
      <c r="D55" s="59"/>
      <c r="E55" s="766"/>
      <c r="F55" s="766"/>
      <c r="H55" s="766">
        <f t="shared" si="5"/>
        <v>0</v>
      </c>
      <c r="I55" s="768">
        <f t="shared" si="6"/>
        <v>0</v>
      </c>
      <c r="O55" s="769"/>
    </row>
    <row r="56" spans="1:15" x14ac:dyDescent="0.25">
      <c r="A56" t="s">
        <v>1100</v>
      </c>
      <c r="B56">
        <v>0.1</v>
      </c>
      <c r="C56" s="766"/>
      <c r="D56" s="59"/>
      <c r="E56" s="766"/>
      <c r="F56" s="766"/>
      <c r="H56" s="766">
        <f t="shared" si="5"/>
        <v>0</v>
      </c>
      <c r="I56" s="768">
        <f t="shared" si="6"/>
        <v>0</v>
      </c>
      <c r="O56" s="769"/>
    </row>
    <row r="57" spans="1:15" x14ac:dyDescent="0.25">
      <c r="A57" t="s">
        <v>1101</v>
      </c>
      <c r="B57">
        <v>0.1</v>
      </c>
      <c r="D57" s="59"/>
      <c r="E57" s="766"/>
      <c r="F57" s="766"/>
      <c r="H57" s="766">
        <f t="shared" si="5"/>
        <v>0</v>
      </c>
      <c r="I57" s="768">
        <f t="shared" si="6"/>
        <v>0</v>
      </c>
      <c r="O57" s="769"/>
    </row>
    <row r="58" spans="1:15" x14ac:dyDescent="0.25">
      <c r="A58" t="s">
        <v>1102</v>
      </c>
      <c r="B58">
        <v>0.1</v>
      </c>
      <c r="D58" s="59"/>
      <c r="E58" s="766"/>
      <c r="F58" s="766"/>
      <c r="H58" s="766">
        <f t="shared" si="5"/>
        <v>0</v>
      </c>
      <c r="I58" s="768">
        <f t="shared" si="6"/>
        <v>0</v>
      </c>
      <c r="O58" s="769"/>
    </row>
    <row r="59" spans="1:15" x14ac:dyDescent="0.25">
      <c r="A59" t="s">
        <v>1103</v>
      </c>
      <c r="B59">
        <v>0.1</v>
      </c>
      <c r="D59" s="59"/>
      <c r="E59" s="766"/>
      <c r="F59" s="766"/>
      <c r="H59" s="766">
        <f t="shared" si="5"/>
        <v>0</v>
      </c>
      <c r="I59" s="768">
        <f t="shared" si="6"/>
        <v>0</v>
      </c>
      <c r="O59" s="769"/>
    </row>
    <row r="60" spans="1:15" x14ac:dyDescent="0.25">
      <c r="A60" t="s">
        <v>1104</v>
      </c>
      <c r="B60">
        <v>0.1</v>
      </c>
      <c r="D60" s="59"/>
      <c r="E60" s="766"/>
      <c r="F60" s="766"/>
      <c r="H60" s="766">
        <f t="shared" si="5"/>
        <v>0</v>
      </c>
      <c r="I60" s="768">
        <f t="shared" si="6"/>
        <v>0</v>
      </c>
      <c r="O60" s="769"/>
    </row>
    <row r="61" spans="1:15" x14ac:dyDescent="0.25">
      <c r="A61" t="s">
        <v>1105</v>
      </c>
      <c r="B61">
        <v>0.1</v>
      </c>
      <c r="C61" s="766"/>
      <c r="D61" s="59"/>
      <c r="E61" s="766"/>
      <c r="F61" s="766"/>
      <c r="H61" s="766">
        <f t="shared" si="5"/>
        <v>0</v>
      </c>
      <c r="I61" s="768">
        <f t="shared" si="6"/>
        <v>0</v>
      </c>
      <c r="O61" s="769"/>
    </row>
    <row r="62" spans="1:15" x14ac:dyDescent="0.25">
      <c r="A62" t="s">
        <v>1106</v>
      </c>
      <c r="B62">
        <v>0.1</v>
      </c>
      <c r="C62" s="766"/>
      <c r="D62" s="59"/>
      <c r="E62" s="766"/>
      <c r="F62" s="766"/>
      <c r="H62" s="766">
        <f t="shared" si="5"/>
        <v>0</v>
      </c>
      <c r="I62" s="768">
        <f t="shared" si="6"/>
        <v>0</v>
      </c>
      <c r="O62" s="769"/>
    </row>
    <row r="63" spans="1:15" x14ac:dyDescent="0.25">
      <c r="A63" t="s">
        <v>1107</v>
      </c>
      <c r="B63">
        <v>0.1</v>
      </c>
      <c r="C63" s="766"/>
      <c r="D63" s="59"/>
      <c r="E63" s="766"/>
      <c r="H63" s="766">
        <f t="shared" si="5"/>
        <v>0</v>
      </c>
      <c r="I63" s="768">
        <f t="shared" si="6"/>
        <v>0</v>
      </c>
      <c r="O63" s="769"/>
    </row>
    <row r="64" spans="1:15" x14ac:dyDescent="0.25">
      <c r="A64" t="s">
        <v>1108</v>
      </c>
      <c r="B64">
        <v>0.1</v>
      </c>
      <c r="C64" s="766"/>
      <c r="D64" s="770"/>
      <c r="E64" s="766"/>
      <c r="F64" s="766"/>
      <c r="H64" s="766">
        <f t="shared" si="5"/>
        <v>0</v>
      </c>
      <c r="I64" s="768">
        <f t="shared" si="6"/>
        <v>0</v>
      </c>
      <c r="O64" s="769"/>
    </row>
    <row r="65" spans="1:15" x14ac:dyDescent="0.25">
      <c r="A65" t="s">
        <v>1109</v>
      </c>
      <c r="B65">
        <v>0.1</v>
      </c>
      <c r="D65" s="59"/>
      <c r="F65" s="766"/>
      <c r="H65" s="766">
        <f t="shared" si="5"/>
        <v>0</v>
      </c>
      <c r="I65" s="768">
        <f t="shared" si="6"/>
        <v>0</v>
      </c>
    </row>
    <row r="66" spans="1:15" x14ac:dyDescent="0.25">
      <c r="A66" t="s">
        <v>1110</v>
      </c>
      <c r="B66">
        <v>0.1</v>
      </c>
      <c r="C66" s="766"/>
      <c r="D66" s="59"/>
      <c r="E66" s="766"/>
      <c r="H66" s="766">
        <f t="shared" si="5"/>
        <v>0</v>
      </c>
      <c r="I66" s="768">
        <f t="shared" si="6"/>
        <v>0</v>
      </c>
      <c r="O66" s="769"/>
    </row>
    <row r="67" spans="1:15" x14ac:dyDescent="0.25">
      <c r="A67" t="s">
        <v>1111</v>
      </c>
      <c r="B67">
        <v>0.1</v>
      </c>
      <c r="D67" s="59"/>
      <c r="E67" s="766"/>
      <c r="H67" s="766">
        <f t="shared" si="5"/>
        <v>0</v>
      </c>
      <c r="I67" s="768">
        <f t="shared" si="6"/>
        <v>0</v>
      </c>
    </row>
    <row r="68" spans="1:15" x14ac:dyDescent="0.25">
      <c r="A68" t="s">
        <v>1112</v>
      </c>
      <c r="B68">
        <v>0.1</v>
      </c>
      <c r="D68" s="770"/>
      <c r="E68" s="766"/>
      <c r="H68" s="766">
        <f t="shared" si="5"/>
        <v>0</v>
      </c>
      <c r="I68" s="768">
        <f t="shared" si="6"/>
        <v>0</v>
      </c>
      <c r="O68" s="769"/>
    </row>
    <row r="69" spans="1:15" x14ac:dyDescent="0.25">
      <c r="A69" t="s">
        <v>1113</v>
      </c>
      <c r="B69">
        <v>0.1</v>
      </c>
      <c r="D69" s="59"/>
      <c r="E69" s="766"/>
      <c r="H69" s="766">
        <f t="shared" si="5"/>
        <v>0</v>
      </c>
      <c r="I69" s="768">
        <f t="shared" si="6"/>
        <v>0</v>
      </c>
      <c r="O69" s="769"/>
    </row>
    <row r="70" spans="1:15" x14ac:dyDescent="0.25">
      <c r="A70" t="s">
        <v>1114</v>
      </c>
      <c r="B70">
        <v>0.1</v>
      </c>
      <c r="D70" s="59"/>
      <c r="E70" s="766"/>
      <c r="H70" s="766">
        <f t="shared" si="5"/>
        <v>0</v>
      </c>
      <c r="I70" s="768">
        <f t="shared" si="6"/>
        <v>0</v>
      </c>
      <c r="O70" s="769"/>
    </row>
    <row r="71" spans="1:15" x14ac:dyDescent="0.25">
      <c r="A71" t="s">
        <v>1115</v>
      </c>
      <c r="B71">
        <v>0.1</v>
      </c>
      <c r="D71" s="770"/>
      <c r="E71" s="766"/>
      <c r="H71" s="766">
        <f t="shared" si="5"/>
        <v>0</v>
      </c>
      <c r="I71" s="768">
        <f t="shared" si="6"/>
        <v>0</v>
      </c>
      <c r="O71" s="769"/>
    </row>
    <row r="72" spans="1:15" x14ac:dyDescent="0.25">
      <c r="A72" t="s">
        <v>1116</v>
      </c>
      <c r="B72">
        <v>0.1</v>
      </c>
      <c r="D72" s="59"/>
      <c r="E72" s="766"/>
      <c r="H72" s="766">
        <f t="shared" si="5"/>
        <v>0</v>
      </c>
      <c r="I72" s="768">
        <f t="shared" si="6"/>
        <v>0</v>
      </c>
      <c r="O72" s="769"/>
    </row>
    <row r="73" spans="1:15" x14ac:dyDescent="0.25">
      <c r="A73" t="s">
        <v>1117</v>
      </c>
      <c r="B73">
        <v>0.1</v>
      </c>
      <c r="C73" s="766"/>
      <c r="D73" s="59"/>
      <c r="E73" s="766"/>
      <c r="H73" s="766">
        <f t="shared" si="5"/>
        <v>0</v>
      </c>
      <c r="I73" s="768">
        <f t="shared" si="6"/>
        <v>0</v>
      </c>
      <c r="O73" s="769"/>
    </row>
    <row r="74" spans="1:15" x14ac:dyDescent="0.25">
      <c r="A74" t="s">
        <v>1118</v>
      </c>
      <c r="B74">
        <v>0.1</v>
      </c>
      <c r="C74" s="766"/>
      <c r="D74" s="770"/>
      <c r="E74" s="766"/>
      <c r="H74" s="766">
        <f t="shared" si="5"/>
        <v>0</v>
      </c>
      <c r="I74" s="768">
        <f t="shared" si="6"/>
        <v>0</v>
      </c>
      <c r="O74" s="769"/>
    </row>
    <row r="75" spans="1:15" x14ac:dyDescent="0.25">
      <c r="A75" t="s">
        <v>1119</v>
      </c>
      <c r="B75">
        <v>0.1</v>
      </c>
      <c r="C75" s="766"/>
      <c r="D75" s="59"/>
      <c r="E75" s="766"/>
      <c r="H75" s="766">
        <f t="shared" si="5"/>
        <v>0</v>
      </c>
      <c r="I75" s="768">
        <f t="shared" si="6"/>
        <v>0</v>
      </c>
      <c r="O75" s="769"/>
    </row>
    <row r="76" spans="1:15" x14ac:dyDescent="0.25">
      <c r="A76" t="s">
        <v>1120</v>
      </c>
      <c r="B76">
        <v>0.1</v>
      </c>
      <c r="C76" s="766"/>
      <c r="D76" s="59"/>
      <c r="E76" s="766"/>
      <c r="H76" s="766">
        <f t="shared" si="5"/>
        <v>0</v>
      </c>
      <c r="I76" s="768">
        <f t="shared" si="6"/>
        <v>0</v>
      </c>
      <c r="O76" s="769"/>
    </row>
    <row r="77" spans="1:15" x14ac:dyDescent="0.25">
      <c r="A77" t="s">
        <v>1121</v>
      </c>
      <c r="B77">
        <v>0.1</v>
      </c>
      <c r="C77" s="766"/>
      <c r="D77" s="770"/>
      <c r="E77" s="766"/>
      <c r="H77" s="766">
        <f t="shared" si="5"/>
        <v>0</v>
      </c>
      <c r="I77" s="768">
        <f t="shared" si="6"/>
        <v>0</v>
      </c>
      <c r="O77" s="769"/>
    </row>
    <row r="78" spans="1:15" x14ac:dyDescent="0.25">
      <c r="A78" t="s">
        <v>1122</v>
      </c>
      <c r="B78">
        <v>0.1</v>
      </c>
      <c r="C78" s="766"/>
      <c r="D78" s="770"/>
      <c r="E78" s="766"/>
      <c r="H78" s="766">
        <f t="shared" si="5"/>
        <v>0</v>
      </c>
      <c r="I78" s="768">
        <f t="shared" si="6"/>
        <v>0</v>
      </c>
      <c r="O78" s="769"/>
    </row>
    <row r="79" spans="1:15" x14ac:dyDescent="0.25">
      <c r="A79" t="s">
        <v>1123</v>
      </c>
      <c r="B79">
        <v>0.1</v>
      </c>
      <c r="D79" s="59"/>
      <c r="E79" s="766"/>
      <c r="H79" s="766">
        <f t="shared" si="5"/>
        <v>0</v>
      </c>
      <c r="I79" s="768">
        <f t="shared" si="6"/>
        <v>0</v>
      </c>
      <c r="O79" s="769"/>
    </row>
    <row r="80" spans="1:15" x14ac:dyDescent="0.25">
      <c r="A80" t="s">
        <v>1124</v>
      </c>
      <c r="B80">
        <v>0.1</v>
      </c>
      <c r="D80" s="770"/>
      <c r="E80" s="766"/>
      <c r="H80" s="766">
        <f t="shared" si="5"/>
        <v>0</v>
      </c>
      <c r="I80" s="768">
        <f t="shared" si="6"/>
        <v>0</v>
      </c>
      <c r="O80" s="769"/>
    </row>
    <row r="81" spans="1:15" x14ac:dyDescent="0.25">
      <c r="A81" t="s">
        <v>1125</v>
      </c>
      <c r="B81">
        <v>0.1</v>
      </c>
      <c r="C81" s="766"/>
      <c r="D81" s="59"/>
      <c r="E81" s="766"/>
      <c r="H81" s="766">
        <f t="shared" si="5"/>
        <v>0</v>
      </c>
      <c r="I81" s="768">
        <f t="shared" si="6"/>
        <v>0</v>
      </c>
      <c r="O81" s="769"/>
    </row>
    <row r="82" spans="1:15" x14ac:dyDescent="0.25">
      <c r="A82" t="s">
        <v>1126</v>
      </c>
      <c r="B82">
        <v>0.1</v>
      </c>
      <c r="C82" s="766"/>
      <c r="D82" s="770"/>
      <c r="E82" s="766"/>
      <c r="H82" s="766">
        <f t="shared" si="5"/>
        <v>0</v>
      </c>
      <c r="I82" s="768">
        <f t="shared" si="6"/>
        <v>0</v>
      </c>
      <c r="O82" s="769"/>
    </row>
    <row r="83" spans="1:15" x14ac:dyDescent="0.25">
      <c r="A83" t="s">
        <v>1127</v>
      </c>
      <c r="B83">
        <v>0.1</v>
      </c>
      <c r="C83" s="766"/>
      <c r="D83" s="770"/>
      <c r="E83" s="766"/>
      <c r="H83" s="766">
        <f t="shared" si="5"/>
        <v>0</v>
      </c>
      <c r="I83" s="768">
        <f t="shared" si="6"/>
        <v>0</v>
      </c>
      <c r="O83" s="769"/>
    </row>
    <row r="84" spans="1:15" x14ac:dyDescent="0.25">
      <c r="A84" t="s">
        <v>1128</v>
      </c>
      <c r="B84">
        <v>0.1</v>
      </c>
      <c r="C84" s="766"/>
      <c r="D84" s="59"/>
      <c r="E84" s="766"/>
      <c r="H84" s="766">
        <f t="shared" si="5"/>
        <v>0</v>
      </c>
      <c r="I84" s="768">
        <f t="shared" si="6"/>
        <v>0</v>
      </c>
      <c r="O84" s="769"/>
    </row>
    <row r="85" spans="1:15" x14ac:dyDescent="0.25">
      <c r="A85" t="s">
        <v>1129</v>
      </c>
      <c r="B85">
        <v>0.1</v>
      </c>
      <c r="D85" s="59"/>
      <c r="E85" s="766"/>
      <c r="H85" s="766">
        <f t="shared" si="5"/>
        <v>0</v>
      </c>
      <c r="I85" s="768">
        <f t="shared" si="6"/>
        <v>0</v>
      </c>
      <c r="O85" s="769"/>
    </row>
    <row r="86" spans="1:15" x14ac:dyDescent="0.25">
      <c r="A86" t="s">
        <v>1130</v>
      </c>
      <c r="B86">
        <v>0.1</v>
      </c>
      <c r="D86" s="770"/>
      <c r="E86" s="766"/>
      <c r="H86" s="766">
        <f t="shared" si="5"/>
        <v>0</v>
      </c>
      <c r="I86" s="768">
        <f t="shared" si="6"/>
        <v>0</v>
      </c>
      <c r="O86" s="769"/>
    </row>
    <row r="87" spans="1:15" x14ac:dyDescent="0.25">
      <c r="A87" t="s">
        <v>1131</v>
      </c>
      <c r="B87">
        <v>0.1</v>
      </c>
      <c r="D87" s="770"/>
      <c r="E87" s="766"/>
      <c r="H87" s="766">
        <f t="shared" si="5"/>
        <v>0</v>
      </c>
      <c r="I87" s="768">
        <f t="shared" si="6"/>
        <v>0</v>
      </c>
      <c r="O87" s="769"/>
    </row>
    <row r="88" spans="1:15" x14ac:dyDescent="0.25">
      <c r="A88" t="s">
        <v>1132</v>
      </c>
      <c r="B88">
        <v>0.1</v>
      </c>
      <c r="D88" s="770"/>
      <c r="E88" s="766"/>
      <c r="H88" s="766">
        <f t="shared" si="5"/>
        <v>0</v>
      </c>
      <c r="I88" s="768">
        <f t="shared" si="6"/>
        <v>0</v>
      </c>
      <c r="O88" s="769"/>
    </row>
    <row r="89" spans="1:15" x14ac:dyDescent="0.25">
      <c r="A89" t="s">
        <v>1133</v>
      </c>
      <c r="B89">
        <v>0.1</v>
      </c>
      <c r="D89" s="770"/>
      <c r="H89" s="766">
        <f t="shared" si="5"/>
        <v>0</v>
      </c>
      <c r="I89" s="768">
        <f t="shared" si="6"/>
        <v>0</v>
      </c>
      <c r="O89" s="769"/>
    </row>
    <row r="90" spans="1:15" x14ac:dyDescent="0.25">
      <c r="A90" t="s">
        <v>1134</v>
      </c>
      <c r="B90">
        <v>0.1</v>
      </c>
      <c r="D90" s="770"/>
      <c r="H90" s="766">
        <f t="shared" si="5"/>
        <v>0</v>
      </c>
      <c r="I90" s="768">
        <f t="shared" si="6"/>
        <v>0</v>
      </c>
      <c r="O90" s="769"/>
    </row>
    <row r="91" spans="1:15" x14ac:dyDescent="0.25">
      <c r="A91" t="s">
        <v>1135</v>
      </c>
      <c r="B91">
        <v>0.1</v>
      </c>
      <c r="D91" s="770"/>
      <c r="H91" s="766">
        <f t="shared" si="5"/>
        <v>0</v>
      </c>
      <c r="I91" s="768">
        <f t="shared" si="6"/>
        <v>0</v>
      </c>
      <c r="O91" s="769"/>
    </row>
    <row r="92" spans="1:15" x14ac:dyDescent="0.25">
      <c r="A92" t="s">
        <v>1136</v>
      </c>
      <c r="B92">
        <v>0.1</v>
      </c>
      <c r="D92" s="770"/>
      <c r="H92" s="766">
        <f t="shared" si="5"/>
        <v>0</v>
      </c>
      <c r="I92" s="768">
        <f t="shared" si="6"/>
        <v>0</v>
      </c>
      <c r="O92" s="769"/>
    </row>
    <row r="93" spans="1:15" x14ac:dyDescent="0.25">
      <c r="A93" t="s">
        <v>1137</v>
      </c>
      <c r="B93">
        <v>0.1</v>
      </c>
      <c r="C93" s="766"/>
      <c r="D93" s="770"/>
      <c r="H93" s="766">
        <f t="shared" si="5"/>
        <v>0</v>
      </c>
      <c r="I93" s="768">
        <f t="shared" si="6"/>
        <v>0</v>
      </c>
      <c r="O93" s="769"/>
    </row>
    <row r="94" spans="1:15" x14ac:dyDescent="0.25">
      <c r="A94" t="s">
        <v>1138</v>
      </c>
      <c r="B94">
        <v>0.1</v>
      </c>
      <c r="D94" s="770"/>
      <c r="H94" s="766">
        <f t="shared" si="5"/>
        <v>0</v>
      </c>
      <c r="I94" s="768">
        <f t="shared" si="6"/>
        <v>0</v>
      </c>
      <c r="O94" s="769"/>
    </row>
    <row r="95" spans="1:15" x14ac:dyDescent="0.25">
      <c r="A95" t="s">
        <v>1139</v>
      </c>
      <c r="B95">
        <v>0.1</v>
      </c>
      <c r="D95" s="770"/>
      <c r="H95" s="766">
        <f t="shared" si="5"/>
        <v>0</v>
      </c>
      <c r="I95" s="768">
        <f t="shared" si="6"/>
        <v>0</v>
      </c>
      <c r="O95" s="769"/>
    </row>
    <row r="96" spans="1:15" x14ac:dyDescent="0.25">
      <c r="A96" t="s">
        <v>1140</v>
      </c>
      <c r="B96">
        <v>0.1</v>
      </c>
      <c r="C96" s="766"/>
      <c r="D96" s="770"/>
      <c r="H96" s="766">
        <f t="shared" si="5"/>
        <v>0</v>
      </c>
      <c r="I96" s="768">
        <f t="shared" si="6"/>
        <v>0</v>
      </c>
      <c r="O96" s="769"/>
    </row>
    <row r="97" spans="1:15" x14ac:dyDescent="0.25">
      <c r="A97" t="s">
        <v>1141</v>
      </c>
      <c r="B97">
        <v>0.1</v>
      </c>
      <c r="C97" s="766"/>
      <c r="H97" s="766">
        <f t="shared" ref="H97:H119" si="7">SUM(C97:G97)</f>
        <v>0</v>
      </c>
      <c r="I97" s="768">
        <f t="shared" ref="I97:I119" si="8">B97*H97</f>
        <v>0</v>
      </c>
      <c r="O97" s="769"/>
    </row>
    <row r="98" spans="1:15" x14ac:dyDescent="0.25">
      <c r="A98" t="s">
        <v>1142</v>
      </c>
      <c r="B98">
        <v>0.1</v>
      </c>
      <c r="C98" s="766"/>
      <c r="H98" s="766">
        <f t="shared" si="7"/>
        <v>0</v>
      </c>
      <c r="I98" s="768">
        <f t="shared" si="8"/>
        <v>0</v>
      </c>
      <c r="O98" s="769"/>
    </row>
    <row r="99" spans="1:15" x14ac:dyDescent="0.25">
      <c r="A99" t="s">
        <v>1143</v>
      </c>
      <c r="B99">
        <v>0.1</v>
      </c>
      <c r="C99" s="766"/>
      <c r="H99" s="766">
        <f t="shared" si="7"/>
        <v>0</v>
      </c>
      <c r="I99" s="768">
        <f t="shared" si="8"/>
        <v>0</v>
      </c>
      <c r="O99" s="769"/>
    </row>
    <row r="100" spans="1:15" x14ac:dyDescent="0.25">
      <c r="A100" t="s">
        <v>1144</v>
      </c>
      <c r="B100">
        <v>0.1</v>
      </c>
      <c r="C100" s="766"/>
      <c r="H100" s="766">
        <f t="shared" si="7"/>
        <v>0</v>
      </c>
      <c r="I100" s="768">
        <f t="shared" si="8"/>
        <v>0</v>
      </c>
      <c r="O100" s="769"/>
    </row>
    <row r="101" spans="1:15" x14ac:dyDescent="0.25">
      <c r="A101" t="s">
        <v>1145</v>
      </c>
      <c r="B101">
        <v>0.1</v>
      </c>
      <c r="C101" s="766"/>
      <c r="H101" s="766">
        <f t="shared" si="7"/>
        <v>0</v>
      </c>
      <c r="I101" s="768">
        <f t="shared" si="8"/>
        <v>0</v>
      </c>
      <c r="O101" s="769"/>
    </row>
    <row r="102" spans="1:15" x14ac:dyDescent="0.25">
      <c r="A102" t="s">
        <v>1146</v>
      </c>
      <c r="B102">
        <v>0.1</v>
      </c>
      <c r="H102" s="766">
        <f t="shared" si="7"/>
        <v>0</v>
      </c>
      <c r="I102" s="768">
        <f t="shared" si="8"/>
        <v>0</v>
      </c>
      <c r="O102" s="769"/>
    </row>
    <row r="103" spans="1:15" x14ac:dyDescent="0.25">
      <c r="A103" t="s">
        <v>1147</v>
      </c>
      <c r="B103">
        <v>0.05</v>
      </c>
      <c r="C103" s="766"/>
      <c r="H103" s="766">
        <f t="shared" si="7"/>
        <v>0</v>
      </c>
      <c r="I103" s="768">
        <f t="shared" si="8"/>
        <v>0</v>
      </c>
      <c r="O103" s="769"/>
    </row>
    <row r="104" spans="1:15" x14ac:dyDescent="0.25">
      <c r="A104" t="s">
        <v>1148</v>
      </c>
      <c r="B104">
        <v>0.05</v>
      </c>
      <c r="C104" s="766"/>
      <c r="H104" s="766">
        <f t="shared" si="7"/>
        <v>0</v>
      </c>
      <c r="I104" s="768">
        <f t="shared" si="8"/>
        <v>0</v>
      </c>
      <c r="O104" s="769"/>
    </row>
    <row r="105" spans="1:15" x14ac:dyDescent="0.25">
      <c r="A105" t="s">
        <v>1149</v>
      </c>
      <c r="B105">
        <v>0.05</v>
      </c>
      <c r="H105" s="766">
        <f t="shared" si="7"/>
        <v>0</v>
      </c>
      <c r="I105" s="768">
        <f t="shared" si="8"/>
        <v>0</v>
      </c>
      <c r="O105" s="769"/>
    </row>
    <row r="106" spans="1:15" x14ac:dyDescent="0.25">
      <c r="A106" t="s">
        <v>1150</v>
      </c>
      <c r="B106">
        <v>0.05</v>
      </c>
      <c r="C106" s="766"/>
      <c r="H106" s="766">
        <f t="shared" si="7"/>
        <v>0</v>
      </c>
      <c r="I106" s="768">
        <f t="shared" si="8"/>
        <v>0</v>
      </c>
      <c r="O106" s="769"/>
    </row>
    <row r="107" spans="1:15" x14ac:dyDescent="0.25">
      <c r="A107" t="s">
        <v>1151</v>
      </c>
      <c r="B107">
        <v>0.05</v>
      </c>
      <c r="C107" s="766"/>
      <c r="H107" s="766">
        <f t="shared" si="7"/>
        <v>0</v>
      </c>
      <c r="I107" s="768">
        <f t="shared" si="8"/>
        <v>0</v>
      </c>
      <c r="O107" s="769"/>
    </row>
    <row r="108" spans="1:15" x14ac:dyDescent="0.25">
      <c r="A108" t="s">
        <v>1152</v>
      </c>
      <c r="B108">
        <v>0.05</v>
      </c>
      <c r="C108" s="766"/>
      <c r="H108" s="766">
        <f t="shared" si="7"/>
        <v>0</v>
      </c>
      <c r="I108" s="768">
        <f t="shared" si="8"/>
        <v>0</v>
      </c>
      <c r="O108" s="769"/>
    </row>
    <row r="109" spans="1:15" x14ac:dyDescent="0.25">
      <c r="A109" t="s">
        <v>1153</v>
      </c>
      <c r="B109">
        <v>0.05</v>
      </c>
      <c r="C109" s="766"/>
      <c r="H109" s="766">
        <f t="shared" si="7"/>
        <v>0</v>
      </c>
      <c r="I109" s="768">
        <f t="shared" si="8"/>
        <v>0</v>
      </c>
      <c r="O109" s="769"/>
    </row>
    <row r="110" spans="1:15" x14ac:dyDescent="0.25">
      <c r="A110" t="s">
        <v>1154</v>
      </c>
      <c r="B110">
        <v>0.05</v>
      </c>
      <c r="C110" s="766"/>
      <c r="H110" s="766">
        <f t="shared" si="7"/>
        <v>0</v>
      </c>
      <c r="I110" s="768">
        <f t="shared" si="8"/>
        <v>0</v>
      </c>
      <c r="O110" s="769"/>
    </row>
    <row r="111" spans="1:15" x14ac:dyDescent="0.25">
      <c r="A111" t="s">
        <v>1155</v>
      </c>
      <c r="B111">
        <v>0.05</v>
      </c>
      <c r="C111" s="766"/>
      <c r="H111" s="766">
        <f t="shared" si="7"/>
        <v>0</v>
      </c>
      <c r="I111" s="768">
        <f t="shared" si="8"/>
        <v>0</v>
      </c>
      <c r="O111" s="769"/>
    </row>
    <row r="112" spans="1:15" x14ac:dyDescent="0.25">
      <c r="A112" t="s">
        <v>1156</v>
      </c>
      <c r="B112">
        <v>0.05</v>
      </c>
      <c r="C112" s="766"/>
      <c r="H112" s="766">
        <f t="shared" si="7"/>
        <v>0</v>
      </c>
      <c r="I112" s="768">
        <f t="shared" si="8"/>
        <v>0</v>
      </c>
      <c r="O112" s="769"/>
    </row>
    <row r="113" spans="1:15" x14ac:dyDescent="0.25">
      <c r="A113" t="s">
        <v>1157</v>
      </c>
      <c r="B113">
        <v>0.05</v>
      </c>
      <c r="C113" s="766"/>
      <c r="H113" s="766">
        <f t="shared" si="7"/>
        <v>0</v>
      </c>
      <c r="I113" s="768">
        <f t="shared" si="8"/>
        <v>0</v>
      </c>
      <c r="O113" s="769"/>
    </row>
    <row r="114" spans="1:15" x14ac:dyDescent="0.25">
      <c r="A114" t="s">
        <v>1158</v>
      </c>
      <c r="B114">
        <v>0.05</v>
      </c>
      <c r="C114" s="766"/>
      <c r="H114" s="766">
        <f t="shared" si="7"/>
        <v>0</v>
      </c>
      <c r="I114" s="768">
        <f t="shared" si="8"/>
        <v>0</v>
      </c>
      <c r="O114" s="769"/>
    </row>
    <row r="115" spans="1:15" x14ac:dyDescent="0.25">
      <c r="A115" t="s">
        <v>1159</v>
      </c>
      <c r="B115">
        <v>0.05</v>
      </c>
      <c r="C115" s="766"/>
      <c r="H115" s="766">
        <f t="shared" si="7"/>
        <v>0</v>
      </c>
      <c r="I115" s="768">
        <f t="shared" si="8"/>
        <v>0</v>
      </c>
    </row>
    <row r="116" spans="1:15" x14ac:dyDescent="0.25">
      <c r="A116" t="s">
        <v>1160</v>
      </c>
      <c r="B116">
        <v>0.05</v>
      </c>
      <c r="C116" s="766"/>
      <c r="H116" s="766">
        <f t="shared" si="7"/>
        <v>0</v>
      </c>
      <c r="I116" s="768">
        <f t="shared" si="8"/>
        <v>0</v>
      </c>
    </row>
    <row r="117" spans="1:15" x14ac:dyDescent="0.25">
      <c r="A117" t="s">
        <v>1161</v>
      </c>
      <c r="B117">
        <v>0.05</v>
      </c>
      <c r="C117" s="766"/>
      <c r="H117" s="766">
        <f t="shared" si="7"/>
        <v>0</v>
      </c>
      <c r="I117" s="768">
        <f t="shared" si="8"/>
        <v>0</v>
      </c>
    </row>
    <row r="118" spans="1:15" x14ac:dyDescent="0.25">
      <c r="A118" t="s">
        <v>1162</v>
      </c>
      <c r="B118">
        <v>0.05</v>
      </c>
      <c r="C118" s="766"/>
      <c r="H118" s="766">
        <f t="shared" si="7"/>
        <v>0</v>
      </c>
      <c r="I118" s="768">
        <f t="shared" si="8"/>
        <v>0</v>
      </c>
    </row>
    <row r="119" spans="1:15" x14ac:dyDescent="0.25">
      <c r="A119" t="s">
        <v>1163</v>
      </c>
      <c r="B119">
        <v>0.05</v>
      </c>
      <c r="C119" s="766"/>
      <c r="H119" s="766">
        <f t="shared" si="7"/>
        <v>0</v>
      </c>
      <c r="I119" s="768">
        <f t="shared" si="8"/>
        <v>0</v>
      </c>
    </row>
  </sheetData>
  <pageMargins left="0.7" right="0.7" top="0.75" bottom="0.75" header="0.3" footer="0.3"/>
  <pageSetup paperSize="9" orientation="portrait" r:id="rId1"/>
  <headerFooter>
    <oddHeader>&amp;C&amp;"Arial"&amp;12&amp;KA80000 OFFICIAL&amp;1#_x000D_</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K44"/>
  <sheetViews>
    <sheetView showGridLines="0" zoomScale="70" zoomScaleNormal="70" workbookViewId="0">
      <pane ySplit="15" topLeftCell="A16" activePane="bottomLeft" state="frozen"/>
      <selection pane="bottomLeft" activeCell="C24" sqref="C24"/>
    </sheetView>
  </sheetViews>
  <sheetFormatPr defaultColWidth="9.140625" defaultRowHeight="15" x14ac:dyDescent="0.25"/>
  <cols>
    <col min="1" max="16384" width="9.140625" style="185"/>
  </cols>
  <sheetData>
    <row r="1" spans="1:11" ht="26.25" customHeight="1" x14ac:dyDescent="0.25">
      <c r="A1" s="1079" t="s">
        <v>137</v>
      </c>
      <c r="B1" s="1079"/>
      <c r="C1" s="1079"/>
      <c r="D1" s="1079"/>
      <c r="E1" s="1079"/>
      <c r="F1" s="1079"/>
      <c r="G1" s="1079"/>
      <c r="H1" s="1079"/>
      <c r="I1" s="1079"/>
    </row>
    <row r="2" spans="1:11" ht="26.25" customHeight="1" x14ac:dyDescent="0.25">
      <c r="A2" s="1079"/>
      <c r="B2" s="1079"/>
      <c r="C2" s="1079"/>
      <c r="D2" s="1079"/>
      <c r="E2" s="1079"/>
      <c r="F2" s="1079"/>
      <c r="G2" s="1079"/>
      <c r="H2" s="1079"/>
      <c r="I2" s="1079"/>
    </row>
    <row r="3" spans="1:11" x14ac:dyDescent="0.25">
      <c r="F3" s="1080" t="s">
        <v>265</v>
      </c>
      <c r="G3" s="1080"/>
      <c r="H3" s="1081">
        <f>'Version Control'!B50</f>
        <v>7</v>
      </c>
      <c r="I3" s="1081"/>
    </row>
    <row r="4" spans="1:11" x14ac:dyDescent="0.25">
      <c r="F4" s="1080" t="s">
        <v>266</v>
      </c>
      <c r="G4" s="1080"/>
      <c r="H4" s="1082">
        <f>'Version Control'!A50</f>
        <v>45531</v>
      </c>
      <c r="I4" s="1082"/>
    </row>
    <row r="5" spans="1:11" x14ac:dyDescent="0.25">
      <c r="F5" s="186"/>
      <c r="G5" s="186"/>
      <c r="H5" s="187"/>
      <c r="I5" s="187"/>
    </row>
    <row r="6" spans="1:11" ht="19.5" thickBot="1" x14ac:dyDescent="0.35">
      <c r="A6" s="188" t="s">
        <v>383</v>
      </c>
    </row>
    <row r="7" spans="1:11" ht="25.5" customHeight="1" x14ac:dyDescent="0.25">
      <c r="A7" s="1070" t="s">
        <v>542</v>
      </c>
      <c r="B7" s="1071"/>
      <c r="C7" s="1071"/>
      <c r="D7" s="1071"/>
      <c r="E7" s="1071"/>
      <c r="F7" s="1071"/>
      <c r="G7" s="1071"/>
      <c r="H7" s="1071"/>
      <c r="I7" s="1071"/>
      <c r="J7" s="1072"/>
    </row>
    <row r="8" spans="1:11" ht="25.5" customHeight="1" x14ac:dyDescent="0.25">
      <c r="A8" s="1073"/>
      <c r="B8" s="1074"/>
      <c r="C8" s="1074"/>
      <c r="D8" s="1074"/>
      <c r="E8" s="1074"/>
      <c r="F8" s="1074"/>
      <c r="G8" s="1074"/>
      <c r="H8" s="1074"/>
      <c r="I8" s="1074"/>
      <c r="J8" s="1075"/>
    </row>
    <row r="9" spans="1:11" ht="25.5" customHeight="1" x14ac:dyDescent="0.25">
      <c r="A9" s="1073"/>
      <c r="B9" s="1074"/>
      <c r="C9" s="1074"/>
      <c r="D9" s="1074"/>
      <c r="E9" s="1074"/>
      <c r="F9" s="1074"/>
      <c r="G9" s="1074"/>
      <c r="H9" s="1074"/>
      <c r="I9" s="1074"/>
      <c r="J9" s="1075"/>
    </row>
    <row r="10" spans="1:11" ht="25.5" customHeight="1" x14ac:dyDescent="0.25">
      <c r="A10" s="1073"/>
      <c r="B10" s="1074"/>
      <c r="C10" s="1074"/>
      <c r="D10" s="1074"/>
      <c r="E10" s="1074"/>
      <c r="F10" s="1074"/>
      <c r="G10" s="1074"/>
      <c r="H10" s="1074"/>
      <c r="I10" s="1074"/>
      <c r="J10" s="1075"/>
    </row>
    <row r="11" spans="1:11" ht="39.75" customHeight="1" x14ac:dyDescent="0.25">
      <c r="A11" s="1073" t="s">
        <v>543</v>
      </c>
      <c r="B11" s="1074"/>
      <c r="C11" s="1074"/>
      <c r="D11" s="1074"/>
      <c r="E11" s="1074"/>
      <c r="F11" s="1074"/>
      <c r="G11" s="1074"/>
      <c r="H11" s="1074"/>
      <c r="I11" s="1074"/>
      <c r="J11" s="1075"/>
    </row>
    <row r="12" spans="1:11" ht="39.75" customHeight="1" thickBot="1" x14ac:dyDescent="0.3">
      <c r="A12" s="1076"/>
      <c r="B12" s="1077"/>
      <c r="C12" s="1077"/>
      <c r="D12" s="1077"/>
      <c r="E12" s="1077"/>
      <c r="F12" s="1077"/>
      <c r="G12" s="1077"/>
      <c r="H12" s="1077"/>
      <c r="I12" s="1077"/>
      <c r="J12" s="1078"/>
    </row>
    <row r="13" spans="1:11" x14ac:dyDescent="0.25">
      <c r="K13" s="189"/>
    </row>
    <row r="14" spans="1:11" ht="15.75" x14ac:dyDescent="0.25">
      <c r="A14" s="190" t="s">
        <v>138</v>
      </c>
    </row>
    <row r="15" spans="1:11" x14ac:dyDescent="0.25">
      <c r="A15" s="191" t="s">
        <v>139</v>
      </c>
      <c r="B15" s="192"/>
      <c r="C15" s="193" t="s">
        <v>140</v>
      </c>
      <c r="E15" s="194" t="s">
        <v>61</v>
      </c>
      <c r="F15" s="195" t="s">
        <v>141</v>
      </c>
      <c r="G15" s="195" t="s">
        <v>142</v>
      </c>
      <c r="H15" s="195" t="s">
        <v>143</v>
      </c>
      <c r="I15" s="196" t="s">
        <v>144</v>
      </c>
    </row>
    <row r="16" spans="1:11" x14ac:dyDescent="0.25">
      <c r="A16" s="197" t="s">
        <v>121</v>
      </c>
      <c r="B16" s="198"/>
      <c r="C16" s="199">
        <v>1.05</v>
      </c>
      <c r="E16" s="200">
        <v>0</v>
      </c>
      <c r="F16" s="201">
        <v>1</v>
      </c>
      <c r="G16" s="201">
        <v>1</v>
      </c>
      <c r="H16" s="201">
        <v>1</v>
      </c>
      <c r="I16" s="202">
        <v>1</v>
      </c>
    </row>
    <row r="17" spans="1:9" x14ac:dyDescent="0.25">
      <c r="A17" s="197" t="s">
        <v>1271</v>
      </c>
      <c r="B17" s="198"/>
      <c r="C17" s="199">
        <v>1.05</v>
      </c>
      <c r="E17" s="200">
        <v>60</v>
      </c>
      <c r="F17" s="201">
        <v>1</v>
      </c>
      <c r="G17" s="201">
        <v>1</v>
      </c>
      <c r="H17" s="201">
        <v>1</v>
      </c>
      <c r="I17" s="202">
        <v>1</v>
      </c>
    </row>
    <row r="18" spans="1:9" x14ac:dyDescent="0.25">
      <c r="A18" s="197" t="s">
        <v>1272</v>
      </c>
      <c r="B18" s="198"/>
      <c r="C18" s="199">
        <v>1.05</v>
      </c>
      <c r="E18" s="200">
        <v>80</v>
      </c>
      <c r="F18" s="201">
        <v>1.02</v>
      </c>
      <c r="G18" s="201">
        <v>1</v>
      </c>
      <c r="H18" s="201">
        <v>1</v>
      </c>
      <c r="I18" s="202">
        <f>(F18*0.5)+(G18*0.2)+(H18*0.3)</f>
        <v>1.01</v>
      </c>
    </row>
    <row r="19" spans="1:9" x14ac:dyDescent="0.25">
      <c r="A19" s="197" t="s">
        <v>120</v>
      </c>
      <c r="B19" s="198"/>
      <c r="C19" s="202">
        <v>1</v>
      </c>
      <c r="E19" s="200">
        <v>100</v>
      </c>
      <c r="F19" s="201">
        <v>1.04</v>
      </c>
      <c r="G19" s="201">
        <v>1</v>
      </c>
      <c r="H19" s="201">
        <v>1.01</v>
      </c>
      <c r="I19" s="202">
        <f t="shared" ref="I19:I44" si="0">(F19*0.5)+(G19*0.2)+(H19*0.3)</f>
        <v>1.0229999999999999</v>
      </c>
    </row>
    <row r="20" spans="1:9" x14ac:dyDescent="0.25">
      <c r="A20" s="197" t="s">
        <v>128</v>
      </c>
      <c r="B20" s="198"/>
      <c r="C20" s="202">
        <v>1.7</v>
      </c>
      <c r="E20" s="200">
        <v>120</v>
      </c>
      <c r="F20" s="201">
        <v>1.08</v>
      </c>
      <c r="G20" s="201">
        <v>1</v>
      </c>
      <c r="H20" s="201">
        <v>1.01</v>
      </c>
      <c r="I20" s="202">
        <f t="shared" si="0"/>
        <v>1.0429999999999999</v>
      </c>
    </row>
    <row r="21" spans="1:9" x14ac:dyDescent="0.25">
      <c r="A21" s="197" t="s">
        <v>122</v>
      </c>
      <c r="B21" s="198"/>
      <c r="C21" s="199">
        <v>1.05</v>
      </c>
      <c r="E21" s="200">
        <v>140</v>
      </c>
      <c r="F21" s="201">
        <v>1.1200000000000001</v>
      </c>
      <c r="G21" s="201">
        <v>1</v>
      </c>
      <c r="H21" s="201">
        <v>1.02</v>
      </c>
      <c r="I21" s="202">
        <f t="shared" si="0"/>
        <v>1.0660000000000001</v>
      </c>
    </row>
    <row r="22" spans="1:9" x14ac:dyDescent="0.25">
      <c r="A22" s="197" t="s">
        <v>123</v>
      </c>
      <c r="B22" s="198"/>
      <c r="C22" s="199">
        <v>1.05</v>
      </c>
      <c r="E22" s="200">
        <v>160</v>
      </c>
      <c r="F22" s="201">
        <v>1.1599999999999999</v>
      </c>
      <c r="G22" s="201">
        <v>1.01</v>
      </c>
      <c r="H22" s="201">
        <v>1.02</v>
      </c>
      <c r="I22" s="202">
        <f t="shared" si="0"/>
        <v>1.0880000000000001</v>
      </c>
    </row>
    <row r="23" spans="1:9" x14ac:dyDescent="0.25">
      <c r="A23" s="197" t="s">
        <v>1273</v>
      </c>
      <c r="B23" s="198"/>
      <c r="C23" s="199">
        <v>1.05</v>
      </c>
      <c r="E23" s="200">
        <v>180</v>
      </c>
      <c r="F23" s="201">
        <v>1.2</v>
      </c>
      <c r="G23" s="201">
        <v>1.01</v>
      </c>
      <c r="H23" s="201">
        <v>1.02</v>
      </c>
      <c r="I23" s="202">
        <f t="shared" si="0"/>
        <v>1.1080000000000001</v>
      </c>
    </row>
    <row r="24" spans="1:9" x14ac:dyDescent="0.25">
      <c r="A24" s="197" t="s">
        <v>124</v>
      </c>
      <c r="B24" s="198"/>
      <c r="C24" s="199">
        <v>1.05</v>
      </c>
      <c r="E24" s="200">
        <v>200</v>
      </c>
      <c r="F24" s="201">
        <v>1.24</v>
      </c>
      <c r="G24" s="201">
        <v>1.01</v>
      </c>
      <c r="H24" s="201">
        <v>1.03</v>
      </c>
      <c r="I24" s="202">
        <f t="shared" si="0"/>
        <v>1.131</v>
      </c>
    </row>
    <row r="25" spans="1:9" x14ac:dyDescent="0.25">
      <c r="A25" s="197" t="s">
        <v>125</v>
      </c>
      <c r="B25" s="198"/>
      <c r="C25" s="199">
        <v>1.05</v>
      </c>
      <c r="E25" s="200">
        <v>220</v>
      </c>
      <c r="F25" s="201">
        <v>1.28</v>
      </c>
      <c r="G25" s="201">
        <v>1.01</v>
      </c>
      <c r="H25" s="201">
        <v>1.03</v>
      </c>
      <c r="I25" s="202">
        <f t="shared" si="0"/>
        <v>1.151</v>
      </c>
    </row>
    <row r="26" spans="1:9" x14ac:dyDescent="0.25">
      <c r="A26" s="197" t="s">
        <v>126</v>
      </c>
      <c r="B26" s="198"/>
      <c r="C26" s="199">
        <v>1.05</v>
      </c>
      <c r="E26" s="200">
        <v>240</v>
      </c>
      <c r="F26" s="201">
        <v>1.32</v>
      </c>
      <c r="G26" s="201">
        <v>1.01</v>
      </c>
      <c r="H26" s="201">
        <v>1.03</v>
      </c>
      <c r="I26" s="202">
        <f t="shared" si="0"/>
        <v>1.171</v>
      </c>
    </row>
    <row r="27" spans="1:9" x14ac:dyDescent="0.25">
      <c r="A27" s="788" t="s">
        <v>1164</v>
      </c>
      <c r="B27" s="789"/>
      <c r="C27" s="790">
        <v>1.05</v>
      </c>
      <c r="E27" s="200">
        <v>260</v>
      </c>
      <c r="F27" s="201">
        <v>1.34</v>
      </c>
      <c r="G27" s="201">
        <v>1.01</v>
      </c>
      <c r="H27" s="201">
        <v>1.04</v>
      </c>
      <c r="I27" s="202">
        <f t="shared" si="0"/>
        <v>1.1840000000000002</v>
      </c>
    </row>
    <row r="28" spans="1:9" x14ac:dyDescent="0.25">
      <c r="A28" s="203" t="s">
        <v>127</v>
      </c>
      <c r="B28" s="204"/>
      <c r="C28" s="205">
        <v>1.05</v>
      </c>
      <c r="E28" s="200">
        <v>280</v>
      </c>
      <c r="F28" s="201">
        <v>1.36</v>
      </c>
      <c r="G28" s="201">
        <v>1.01</v>
      </c>
      <c r="H28" s="201">
        <v>1.04</v>
      </c>
      <c r="I28" s="202">
        <f t="shared" si="0"/>
        <v>1.1940000000000002</v>
      </c>
    </row>
    <row r="29" spans="1:9" x14ac:dyDescent="0.25">
      <c r="E29" s="200">
        <v>300</v>
      </c>
      <c r="F29" s="201">
        <v>1.38</v>
      </c>
      <c r="G29" s="201">
        <v>1.01</v>
      </c>
      <c r="H29" s="201">
        <v>1.05</v>
      </c>
      <c r="I29" s="202">
        <f t="shared" si="0"/>
        <v>1.2069999999999999</v>
      </c>
    </row>
    <row r="30" spans="1:9" x14ac:dyDescent="0.25">
      <c r="E30" s="200">
        <v>320</v>
      </c>
      <c r="F30" s="201">
        <v>1.4</v>
      </c>
      <c r="G30" s="201">
        <v>1.02</v>
      </c>
      <c r="H30" s="201">
        <v>1.05</v>
      </c>
      <c r="I30" s="202">
        <f t="shared" si="0"/>
        <v>1.2189999999999999</v>
      </c>
    </row>
    <row r="31" spans="1:9" x14ac:dyDescent="0.25">
      <c r="E31" s="200">
        <v>340</v>
      </c>
      <c r="F31" s="201">
        <v>1.41</v>
      </c>
      <c r="G31" s="201">
        <v>1.02</v>
      </c>
      <c r="H31" s="201">
        <v>1.05</v>
      </c>
      <c r="I31" s="202">
        <f t="shared" si="0"/>
        <v>1.224</v>
      </c>
    </row>
    <row r="32" spans="1:9" x14ac:dyDescent="0.25">
      <c r="E32" s="200">
        <v>360</v>
      </c>
      <c r="F32" s="201">
        <v>1.42</v>
      </c>
      <c r="G32" s="201">
        <v>1.02</v>
      </c>
      <c r="H32" s="201">
        <v>1.06</v>
      </c>
      <c r="I32" s="202">
        <f t="shared" si="0"/>
        <v>1.232</v>
      </c>
    </row>
    <row r="33" spans="5:9" x14ac:dyDescent="0.25">
      <c r="E33" s="200">
        <v>380</v>
      </c>
      <c r="F33" s="201">
        <v>1.43</v>
      </c>
      <c r="G33" s="201">
        <v>1.02</v>
      </c>
      <c r="H33" s="201">
        <v>1.06</v>
      </c>
      <c r="I33" s="202">
        <f t="shared" si="0"/>
        <v>1.2370000000000001</v>
      </c>
    </row>
    <row r="34" spans="5:9" x14ac:dyDescent="0.25">
      <c r="E34" s="200">
        <v>400</v>
      </c>
      <c r="F34" s="201">
        <v>1.44</v>
      </c>
      <c r="G34" s="201">
        <v>1.02</v>
      </c>
      <c r="H34" s="201">
        <v>1.06</v>
      </c>
      <c r="I34" s="202">
        <f t="shared" si="0"/>
        <v>1.242</v>
      </c>
    </row>
    <row r="35" spans="5:9" x14ac:dyDescent="0.25">
      <c r="E35" s="200">
        <v>420</v>
      </c>
      <c r="F35" s="201">
        <v>1.45</v>
      </c>
      <c r="G35" s="201">
        <v>1.02</v>
      </c>
      <c r="H35" s="201">
        <v>1.07</v>
      </c>
      <c r="I35" s="202">
        <f t="shared" si="0"/>
        <v>1.25</v>
      </c>
    </row>
    <row r="36" spans="5:9" x14ac:dyDescent="0.25">
      <c r="E36" s="200">
        <v>440</v>
      </c>
      <c r="F36" s="201">
        <v>1.46</v>
      </c>
      <c r="G36" s="201">
        <v>1.02</v>
      </c>
      <c r="H36" s="201">
        <v>1.07</v>
      </c>
      <c r="I36" s="202">
        <f t="shared" si="0"/>
        <v>1.2549999999999999</v>
      </c>
    </row>
    <row r="37" spans="5:9" x14ac:dyDescent="0.25">
      <c r="E37" s="200">
        <v>460</v>
      </c>
      <c r="F37" s="201">
        <v>1.47</v>
      </c>
      <c r="G37" s="201">
        <v>1.02</v>
      </c>
      <c r="H37" s="201">
        <v>1.07</v>
      </c>
      <c r="I37" s="202">
        <f t="shared" si="0"/>
        <v>1.26</v>
      </c>
    </row>
    <row r="38" spans="5:9" x14ac:dyDescent="0.25">
      <c r="E38" s="200">
        <v>480</v>
      </c>
      <c r="F38" s="201">
        <v>1.48</v>
      </c>
      <c r="G38" s="201">
        <v>1.02</v>
      </c>
      <c r="H38" s="201">
        <v>1.08</v>
      </c>
      <c r="I38" s="202">
        <f t="shared" si="0"/>
        <v>1.268</v>
      </c>
    </row>
    <row r="39" spans="5:9" x14ac:dyDescent="0.25">
      <c r="E39" s="200">
        <v>500</v>
      </c>
      <c r="F39" s="201">
        <v>1.49</v>
      </c>
      <c r="G39" s="201">
        <v>1.03</v>
      </c>
      <c r="H39" s="201">
        <v>1.08</v>
      </c>
      <c r="I39" s="202">
        <f t="shared" si="0"/>
        <v>1.2750000000000001</v>
      </c>
    </row>
    <row r="40" spans="5:9" x14ac:dyDescent="0.25">
      <c r="E40" s="200">
        <v>520</v>
      </c>
      <c r="F40" s="201">
        <v>1.5</v>
      </c>
      <c r="G40" s="201">
        <v>1.03</v>
      </c>
      <c r="H40" s="201">
        <v>1.08</v>
      </c>
      <c r="I40" s="202">
        <f t="shared" si="0"/>
        <v>1.28</v>
      </c>
    </row>
    <row r="41" spans="5:9" x14ac:dyDescent="0.25">
      <c r="E41" s="200">
        <v>540</v>
      </c>
      <c r="F41" s="201">
        <v>1.5</v>
      </c>
      <c r="G41" s="201">
        <v>1.03</v>
      </c>
      <c r="H41" s="201">
        <v>1.0900000000000001</v>
      </c>
      <c r="I41" s="202">
        <f t="shared" si="0"/>
        <v>1.2829999999999999</v>
      </c>
    </row>
    <row r="42" spans="5:9" x14ac:dyDescent="0.25">
      <c r="E42" s="200">
        <v>560</v>
      </c>
      <c r="F42" s="201">
        <v>1.5</v>
      </c>
      <c r="G42" s="201">
        <v>1.03</v>
      </c>
      <c r="H42" s="201">
        <v>1.0900000000000001</v>
      </c>
      <c r="I42" s="202">
        <f t="shared" si="0"/>
        <v>1.2829999999999999</v>
      </c>
    </row>
    <row r="43" spans="5:9" x14ac:dyDescent="0.25">
      <c r="E43" s="200">
        <v>580</v>
      </c>
      <c r="F43" s="201">
        <v>1.5</v>
      </c>
      <c r="G43" s="201">
        <v>1.03</v>
      </c>
      <c r="H43" s="201">
        <v>1.0900000000000001</v>
      </c>
      <c r="I43" s="202">
        <f t="shared" si="0"/>
        <v>1.2829999999999999</v>
      </c>
    </row>
    <row r="44" spans="5:9" x14ac:dyDescent="0.25">
      <c r="E44" s="206">
        <v>600</v>
      </c>
      <c r="F44" s="207">
        <v>1.5</v>
      </c>
      <c r="G44" s="207">
        <v>1.03</v>
      </c>
      <c r="H44" s="207">
        <v>1.1000000000000001</v>
      </c>
      <c r="I44" s="208">
        <f t="shared" si="0"/>
        <v>1.286</v>
      </c>
    </row>
  </sheetData>
  <sheetProtection algorithmName="SHA-512" hashValue="x0HXKN9XIBmjeuG2jogdcKHg+esrxwIusMiN/IYPMwrKKSGizdxHQCIqc6yLVBr9UU6lzjl++U7NT/pjegT4XA==" saltValue="X6XopOd6O2keXk9bIJfpXQ==" spinCount="100000" sheet="1" objects="1" scenarios="1" selectLockedCells="1"/>
  <mergeCells count="7">
    <mergeCell ref="A7:J10"/>
    <mergeCell ref="A11:J12"/>
    <mergeCell ref="A1:I2"/>
    <mergeCell ref="F3:G3"/>
    <mergeCell ref="H3:I3"/>
    <mergeCell ref="F4:G4"/>
    <mergeCell ref="H4:I4"/>
  </mergeCells>
  <pageMargins left="0.70866141732283472" right="0.70866141732283472" top="0.74803149606299213" bottom="0.74803149606299213" header="0.31496062992125984" footer="0.31496062992125984"/>
  <pageSetup paperSize="9" scale="86" orientation="portrait" r:id="rId1"/>
  <headerFooter>
    <oddHeader>&amp;C&amp;"Arial"&amp;12&amp;KA80000 OFFICIAL&amp;1#_x000D_</oddHeader>
    <oddFooter>&amp;L&amp;Z
&amp;F&amp;C&amp;A&amp;R&amp;D</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BF152"/>
  <sheetViews>
    <sheetView showGridLines="0" zoomScale="80" zoomScaleNormal="80" workbookViewId="0">
      <pane ySplit="9" topLeftCell="A10" activePane="bottomLeft" state="frozen"/>
      <selection pane="bottomLeft" activeCell="F10" sqref="F10"/>
    </sheetView>
  </sheetViews>
  <sheetFormatPr defaultColWidth="9.140625" defaultRowHeight="15" x14ac:dyDescent="0.25"/>
  <cols>
    <col min="1" max="1" width="10.7109375" style="105" customWidth="1"/>
    <col min="2" max="2" width="11.42578125" style="105" customWidth="1"/>
    <col min="3" max="3" width="48.42578125" style="105" customWidth="1"/>
    <col min="4" max="14" width="15" style="105" customWidth="1"/>
    <col min="15" max="15" width="14.140625" style="105" customWidth="1"/>
    <col min="16" max="16" width="14.5703125" style="105" customWidth="1"/>
    <col min="17" max="17" width="11.140625" style="105" customWidth="1"/>
    <col min="18" max="18" width="4.42578125" style="105" customWidth="1"/>
    <col min="19" max="19" width="63.85546875" style="489" customWidth="1"/>
    <col min="20" max="37" width="9.42578125" style="105" customWidth="1"/>
    <col min="38" max="38" width="7.5703125" style="482" customWidth="1"/>
    <col min="39" max="39" width="44.85546875" style="482" customWidth="1"/>
    <col min="40" max="56" width="7.140625" style="105" customWidth="1"/>
    <col min="57" max="16384" width="9.140625" style="105"/>
  </cols>
  <sheetData>
    <row r="1" spans="1:58" ht="28.5" x14ac:dyDescent="0.45">
      <c r="A1" s="468" t="s">
        <v>31</v>
      </c>
    </row>
    <row r="2" spans="1:58" ht="19.5" thickBot="1" x14ac:dyDescent="0.35">
      <c r="A2" s="469" t="s">
        <v>384</v>
      </c>
    </row>
    <row r="3" spans="1:58" s="470" customFormat="1" ht="45" customHeight="1" x14ac:dyDescent="0.25">
      <c r="A3" s="1083" t="s">
        <v>385</v>
      </c>
      <c r="B3" s="1084"/>
      <c r="C3" s="1084"/>
      <c r="D3" s="1084"/>
      <c r="E3" s="1084"/>
      <c r="F3" s="1084"/>
      <c r="G3" s="1084"/>
      <c r="H3" s="1084"/>
      <c r="I3" s="1085"/>
      <c r="S3" s="490"/>
      <c r="AL3" s="483"/>
      <c r="AM3" s="483"/>
    </row>
    <row r="4" spans="1:58" s="470" customFormat="1" ht="11.25" customHeight="1" x14ac:dyDescent="0.25">
      <c r="A4" s="717"/>
      <c r="B4" s="718"/>
      <c r="C4" s="718"/>
      <c r="D4" s="718"/>
      <c r="E4" s="718"/>
      <c r="F4" s="718"/>
      <c r="G4" s="718"/>
      <c r="H4" s="718"/>
      <c r="I4" s="719"/>
      <c r="S4" s="490"/>
      <c r="AL4" s="483"/>
      <c r="AM4" s="483"/>
    </row>
    <row r="5" spans="1:58" s="470" customFormat="1" ht="54.75" customHeight="1" thickBot="1" x14ac:dyDescent="0.3">
      <c r="A5" s="1086" t="s">
        <v>591</v>
      </c>
      <c r="B5" s="1087"/>
      <c r="C5" s="1087"/>
      <c r="D5" s="1087"/>
      <c r="E5" s="1087"/>
      <c r="F5" s="1087"/>
      <c r="G5" s="1087"/>
      <c r="H5" s="1087"/>
      <c r="I5" s="1088"/>
      <c r="S5" s="490"/>
      <c r="AL5" s="483"/>
      <c r="AM5" s="483"/>
    </row>
    <row r="6" spans="1:58" ht="28.5" customHeight="1" thickBot="1" x14ac:dyDescent="0.3">
      <c r="A6" s="678"/>
      <c r="B6" s="679"/>
      <c r="C6" s="679"/>
      <c r="D6" s="679"/>
      <c r="E6" s="679"/>
      <c r="F6" s="679"/>
      <c r="G6" s="679"/>
      <c r="H6" s="679"/>
      <c r="I6" s="679"/>
      <c r="J6" s="1097" t="s">
        <v>148</v>
      </c>
      <c r="K6" s="1098"/>
      <c r="L6" s="1098"/>
      <c r="M6" s="1098"/>
      <c r="N6" s="1099"/>
      <c r="O6" s="1091" t="s">
        <v>150</v>
      </c>
      <c r="P6" s="1093" t="s">
        <v>269</v>
      </c>
      <c r="Q6" s="1094"/>
      <c r="AN6" s="1102" t="s">
        <v>477</v>
      </c>
      <c r="AO6" s="1102" t="s">
        <v>161</v>
      </c>
      <c r="AP6" s="1102" t="s">
        <v>636</v>
      </c>
      <c r="AQ6" s="1102" t="s">
        <v>637</v>
      </c>
      <c r="AR6" s="1102" t="s">
        <v>497</v>
      </c>
      <c r="AS6" s="1102" t="s">
        <v>638</v>
      </c>
      <c r="AT6" s="1102" t="s">
        <v>639</v>
      </c>
      <c r="AU6" s="1102" t="s">
        <v>166</v>
      </c>
      <c r="AV6" s="1102" t="s">
        <v>514</v>
      </c>
      <c r="AW6" s="1102" t="s">
        <v>640</v>
      </c>
      <c r="AX6" s="1102" t="s">
        <v>522</v>
      </c>
      <c r="AY6" s="1102" t="s">
        <v>530</v>
      </c>
      <c r="AZ6" s="1102" t="s">
        <v>339</v>
      </c>
      <c r="BA6" s="1102" t="s">
        <v>641</v>
      </c>
      <c r="BB6" s="1102" t="s">
        <v>883</v>
      </c>
      <c r="BC6" s="1102" t="s">
        <v>942</v>
      </c>
      <c r="BD6" s="1102" t="s">
        <v>642</v>
      </c>
    </row>
    <row r="7" spans="1:58" s="484" customFormat="1" ht="33.75" customHeight="1" x14ac:dyDescent="0.25">
      <c r="A7" s="699" t="s">
        <v>267</v>
      </c>
      <c r="B7" s="700"/>
      <c r="C7" s="701">
        <f>'Input Page'!C6</f>
        <v>7</v>
      </c>
      <c r="D7" s="702"/>
      <c r="E7" s="703" t="s">
        <v>111</v>
      </c>
      <c r="F7" s="1100" t="str">
        <f>IF('Input Page'!E46="","",'Input Page'!E46)</f>
        <v/>
      </c>
      <c r="G7" s="1101"/>
      <c r="H7" s="702"/>
      <c r="I7" s="704" t="s">
        <v>145</v>
      </c>
      <c r="J7" s="616">
        <f>IF('Input Page'!$E46="",1,VLOOKUP('Input Page'!$E46,'Distance Sheet'!$A16:$C28,3))</f>
        <v>1</v>
      </c>
      <c r="K7" s="617">
        <f>IF('Input Page'!$E46="",1,VLOOKUP('Input Page'!$E46,'Distance Sheet'!$A16:$C28,3))</f>
        <v>1</v>
      </c>
      <c r="L7" s="617">
        <f>IF('Input Page'!$E46="",1,VLOOKUP('Input Page'!$E46,'Distance Sheet'!$A16:$C28,3))</f>
        <v>1</v>
      </c>
      <c r="M7" s="617">
        <f>IF('Input Page'!$E46="",1,VLOOKUP('Input Page'!$E46,'Distance Sheet'!$A16:$C28,3))</f>
        <v>1</v>
      </c>
      <c r="N7" s="618"/>
      <c r="O7" s="1092"/>
      <c r="P7" s="1095"/>
      <c r="Q7" s="1096"/>
      <c r="S7" s="615"/>
      <c r="AN7" s="1102"/>
      <c r="AO7" s="1102"/>
      <c r="AP7" s="1102"/>
      <c r="AQ7" s="1102"/>
      <c r="AR7" s="1102"/>
      <c r="AS7" s="1102"/>
      <c r="AT7" s="1102"/>
      <c r="AU7" s="1102"/>
      <c r="AV7" s="1102"/>
      <c r="AW7" s="1102"/>
      <c r="AX7" s="1102"/>
      <c r="AY7" s="1102"/>
      <c r="AZ7" s="1102"/>
      <c r="BA7" s="1102"/>
      <c r="BB7" s="1102"/>
      <c r="BC7" s="1102" t="s">
        <v>941</v>
      </c>
      <c r="BD7" s="1102"/>
    </row>
    <row r="8" spans="1:58" ht="19.5" thickBot="1" x14ac:dyDescent="0.3">
      <c r="A8" s="680" t="s">
        <v>268</v>
      </c>
      <c r="B8" s="619"/>
      <c r="C8" s="620">
        <f>'Input Page'!C7</f>
        <v>45531</v>
      </c>
      <c r="D8" s="681"/>
      <c r="E8" s="682" t="s">
        <v>149</v>
      </c>
      <c r="F8" s="1089">
        <f>'Input Page'!E49</f>
        <v>0</v>
      </c>
      <c r="G8" s="1090"/>
      <c r="H8" s="681"/>
      <c r="I8" s="683" t="s">
        <v>146</v>
      </c>
      <c r="J8" s="621">
        <f>VLOOKUP('Input Page'!$E49,'Distance Sheet'!$E16:$I44,3)</f>
        <v>1</v>
      </c>
      <c r="K8" s="622">
        <f>VLOOKUP('Input Page'!$E49,'Distance Sheet'!$E16:$I44,4)</f>
        <v>1</v>
      </c>
      <c r="L8" s="622">
        <f>VLOOKUP('Input Page'!$E49,'Distance Sheet'!$E16:$I44,2)</f>
        <v>1</v>
      </c>
      <c r="M8" s="622">
        <f>VLOOKUP('Input Page'!$E49,'Distance Sheet'!$E16:$I44,5)</f>
        <v>1</v>
      </c>
      <c r="N8" s="623"/>
      <c r="O8" s="624">
        <v>0.1</v>
      </c>
      <c r="P8" s="625"/>
      <c r="Q8" s="626"/>
      <c r="S8" s="491"/>
      <c r="AN8" s="1102"/>
      <c r="AO8" s="1102"/>
      <c r="AP8" s="1102"/>
      <c r="AQ8" s="1102"/>
      <c r="AR8" s="1102"/>
      <c r="AS8" s="1102"/>
      <c r="AT8" s="1102"/>
      <c r="AU8" s="1102"/>
      <c r="AV8" s="1102"/>
      <c r="AW8" s="1102"/>
      <c r="AX8" s="1102"/>
      <c r="AY8" s="1102"/>
      <c r="AZ8" s="1102"/>
      <c r="BA8" s="1102"/>
      <c r="BB8" s="1102"/>
      <c r="BC8" s="1102"/>
      <c r="BD8" s="1102"/>
    </row>
    <row r="9" spans="1:58" ht="30" customHeight="1" x14ac:dyDescent="0.25">
      <c r="A9" s="684" t="s">
        <v>0</v>
      </c>
      <c r="B9" s="627" t="s">
        <v>965</v>
      </c>
      <c r="C9" s="627" t="s">
        <v>1</v>
      </c>
      <c r="D9" s="628" t="s">
        <v>2</v>
      </c>
      <c r="E9" s="629" t="s">
        <v>3</v>
      </c>
      <c r="F9" s="630" t="s">
        <v>4</v>
      </c>
      <c r="G9" s="630" t="s">
        <v>5</v>
      </c>
      <c r="H9" s="631" t="s">
        <v>6</v>
      </c>
      <c r="I9" s="632" t="s">
        <v>7</v>
      </c>
      <c r="J9" s="633" t="s">
        <v>3</v>
      </c>
      <c r="K9" s="634" t="s">
        <v>4</v>
      </c>
      <c r="L9" s="634" t="s">
        <v>5</v>
      </c>
      <c r="M9" s="634" t="s">
        <v>6</v>
      </c>
      <c r="N9" s="635" t="s">
        <v>147</v>
      </c>
      <c r="O9" s="636" t="s">
        <v>29</v>
      </c>
      <c r="P9" s="637" t="s">
        <v>30</v>
      </c>
      <c r="Q9" s="638" t="s">
        <v>32</v>
      </c>
      <c r="S9" s="487" t="s">
        <v>739</v>
      </c>
      <c r="AL9" s="488"/>
      <c r="AM9" s="488"/>
      <c r="AN9" s="1102"/>
      <c r="AO9" s="1102"/>
      <c r="AP9" s="1102"/>
      <c r="AQ9" s="1102"/>
      <c r="AR9" s="1102"/>
      <c r="AS9" s="1102"/>
      <c r="AT9" s="1102"/>
      <c r="AU9" s="1102"/>
      <c r="AV9" s="1102"/>
      <c r="AW9" s="1102"/>
      <c r="AX9" s="1102"/>
      <c r="AY9" s="1102"/>
      <c r="AZ9" s="1102"/>
      <c r="BA9" s="1102"/>
      <c r="BB9" s="1102"/>
      <c r="BC9" s="1102" t="s">
        <v>941</v>
      </c>
      <c r="BD9" s="1102"/>
      <c r="BE9" s="471"/>
      <c r="BF9" s="471"/>
    </row>
    <row r="10" spans="1:58" ht="75" x14ac:dyDescent="0.25">
      <c r="A10" s="685" t="s">
        <v>8</v>
      </c>
      <c r="B10" s="639" t="s">
        <v>291</v>
      </c>
      <c r="C10" s="640" t="s">
        <v>672</v>
      </c>
      <c r="D10" s="641" t="s">
        <v>12</v>
      </c>
      <c r="E10" s="642">
        <v>0</v>
      </c>
      <c r="F10" s="643">
        <v>0</v>
      </c>
      <c r="G10" s="643">
        <v>0</v>
      </c>
      <c r="H10" s="643">
        <v>27868.188604263243</v>
      </c>
      <c r="I10" s="644">
        <f t="shared" ref="I10:I73" si="0">SUM(E10:H10)</f>
        <v>27868.188604263243</v>
      </c>
      <c r="J10" s="645">
        <f t="shared" ref="J10:M11" si="1">E10*J$8*J$7</f>
        <v>0</v>
      </c>
      <c r="K10" s="646">
        <f t="shared" si="1"/>
        <v>0</v>
      </c>
      <c r="L10" s="646">
        <f t="shared" si="1"/>
        <v>0</v>
      </c>
      <c r="M10" s="646">
        <f t="shared" si="1"/>
        <v>27868.188604263243</v>
      </c>
      <c r="N10" s="647">
        <f>SUM(J10:M10)</f>
        <v>27868.188604263243</v>
      </c>
      <c r="O10" s="648">
        <v>0</v>
      </c>
      <c r="P10" s="649">
        <f>N10+(N10*O10)</f>
        <v>27868.188604263243</v>
      </c>
      <c r="Q10" s="650" t="str">
        <f t="shared" ref="Q10:Q27" si="2">D10</f>
        <v>Item</v>
      </c>
      <c r="S10" s="492" t="s">
        <v>740</v>
      </c>
      <c r="AL10" s="472" t="str">
        <f>A10</f>
        <v>A1001</v>
      </c>
      <c r="AM10" s="472" t="str">
        <f>C10</f>
        <v>Design/Quantify/Survey of Tailings Dam to confirm appropriate Cover Specifications</v>
      </c>
      <c r="AN10" s="473"/>
      <c r="AO10" s="474"/>
      <c r="AP10" s="474"/>
      <c r="AQ10" s="474"/>
      <c r="AR10" s="474"/>
      <c r="AS10" s="474" t="s">
        <v>643</v>
      </c>
      <c r="AT10" s="474"/>
      <c r="AU10" s="474"/>
      <c r="AV10" s="474"/>
      <c r="AW10" s="474"/>
      <c r="AX10" s="474"/>
      <c r="AY10" s="474"/>
      <c r="AZ10" s="474"/>
      <c r="BA10" s="474"/>
      <c r="BB10" s="474"/>
      <c r="BC10" s="474"/>
      <c r="BD10" s="474"/>
    </row>
    <row r="11" spans="1:58" ht="105" x14ac:dyDescent="0.25">
      <c r="A11" s="686" t="s">
        <v>9</v>
      </c>
      <c r="B11" s="651" t="s">
        <v>291</v>
      </c>
      <c r="C11" s="640" t="s">
        <v>345</v>
      </c>
      <c r="D11" s="652" t="s">
        <v>12</v>
      </c>
      <c r="E11" s="653">
        <v>0</v>
      </c>
      <c r="F11" s="646">
        <v>0</v>
      </c>
      <c r="G11" s="646">
        <v>0</v>
      </c>
      <c r="H11" s="654">
        <v>13934.094302131622</v>
      </c>
      <c r="I11" s="655">
        <f t="shared" si="0"/>
        <v>13934.094302131622</v>
      </c>
      <c r="J11" s="645">
        <f t="shared" si="1"/>
        <v>0</v>
      </c>
      <c r="K11" s="646">
        <f t="shared" si="1"/>
        <v>0</v>
      </c>
      <c r="L11" s="646">
        <f t="shared" si="1"/>
        <v>0</v>
      </c>
      <c r="M11" s="646">
        <f t="shared" si="1"/>
        <v>13934.094302131622</v>
      </c>
      <c r="N11" s="647">
        <f t="shared" ref="N11:N32" si="3">SUM(J11:M11)</f>
        <v>13934.094302131622</v>
      </c>
      <c r="O11" s="648">
        <f t="shared" ref="O11:O28" si="4">$O$8</f>
        <v>0.1</v>
      </c>
      <c r="P11" s="649">
        <f>N11+(N11*O11)</f>
        <v>15327.503732344783</v>
      </c>
      <c r="Q11" s="650" t="str">
        <f t="shared" si="2"/>
        <v>Item</v>
      </c>
      <c r="S11" s="492" t="s">
        <v>741</v>
      </c>
      <c r="AL11" s="472" t="str">
        <f t="shared" ref="AL11:AL74" si="5">A11</f>
        <v>A1002</v>
      </c>
      <c r="AM11" s="472" t="str">
        <f t="shared" ref="AM11:AM74" si="6">C11</f>
        <v>Engineering Assessment of Water Retaining Structures</v>
      </c>
      <c r="AN11" s="474"/>
      <c r="AO11" s="474"/>
      <c r="AP11" s="474"/>
      <c r="AQ11" s="474"/>
      <c r="AR11" s="474"/>
      <c r="AS11" s="474"/>
      <c r="AT11" s="474"/>
      <c r="AU11" s="474"/>
      <c r="AV11" s="474"/>
      <c r="AW11" s="474"/>
      <c r="AX11" s="474"/>
      <c r="AY11" s="474"/>
      <c r="AZ11" s="474" t="s">
        <v>643</v>
      </c>
      <c r="BA11" s="474"/>
      <c r="BB11" s="474"/>
      <c r="BC11" s="474"/>
      <c r="BD11" s="474"/>
    </row>
    <row r="12" spans="1:58" ht="30" x14ac:dyDescent="0.25">
      <c r="A12" s="686" t="s">
        <v>10</v>
      </c>
      <c r="B12" s="651" t="s">
        <v>275</v>
      </c>
      <c r="C12" s="640" t="s">
        <v>11</v>
      </c>
      <c r="D12" s="656" t="s">
        <v>12</v>
      </c>
      <c r="E12" s="657">
        <v>842.71176887435274</v>
      </c>
      <c r="F12" s="658">
        <v>0</v>
      </c>
      <c r="G12" s="658">
        <v>624.3689484126985</v>
      </c>
      <c r="H12" s="659">
        <v>0</v>
      </c>
      <c r="I12" s="644">
        <f t="shared" si="0"/>
        <v>1467.0807172870514</v>
      </c>
      <c r="J12" s="645">
        <f t="shared" ref="J12:J28" si="7">E12*J$8*J$7</f>
        <v>842.71176887435274</v>
      </c>
      <c r="K12" s="646">
        <f>F12*K$8*K$7</f>
        <v>0</v>
      </c>
      <c r="L12" s="646">
        <f>G12*L$8*L$7</f>
        <v>624.3689484126985</v>
      </c>
      <c r="M12" s="646">
        <f>H12*M$8*M$7</f>
        <v>0</v>
      </c>
      <c r="N12" s="647">
        <f t="shared" si="3"/>
        <v>1467.0807172870514</v>
      </c>
      <c r="O12" s="648">
        <f t="shared" si="4"/>
        <v>0.1</v>
      </c>
      <c r="P12" s="649">
        <f t="shared" ref="P12:P37" si="8">N12+(N12*O12)</f>
        <v>1613.7887890157565</v>
      </c>
      <c r="Q12" s="650" t="str">
        <f t="shared" si="2"/>
        <v>Item</v>
      </c>
      <c r="S12" s="492" t="s">
        <v>742</v>
      </c>
      <c r="AL12" s="472" t="str">
        <f t="shared" si="5"/>
        <v>A1003</v>
      </c>
      <c r="AM12" s="472" t="str">
        <f t="shared" si="6"/>
        <v>Pump Station - Above Ground on concrete slab - Demolish and remove</v>
      </c>
      <c r="AN12" s="474"/>
      <c r="AO12" s="474"/>
      <c r="AP12" s="474"/>
      <c r="AQ12" s="474"/>
      <c r="AR12" s="474"/>
      <c r="AS12" s="474" t="s">
        <v>643</v>
      </c>
      <c r="AT12" s="474"/>
      <c r="AU12" s="474"/>
      <c r="AV12" s="474"/>
      <c r="AW12" s="474"/>
      <c r="AX12" s="474"/>
      <c r="AY12" s="474"/>
      <c r="AZ12" s="474"/>
      <c r="BA12" s="474"/>
      <c r="BB12" s="474"/>
      <c r="BC12" s="474"/>
      <c r="BD12" s="474"/>
    </row>
    <row r="13" spans="1:58" ht="45" x14ac:dyDescent="0.25">
      <c r="A13" s="686" t="s">
        <v>13</v>
      </c>
      <c r="B13" s="651" t="s">
        <v>292</v>
      </c>
      <c r="C13" s="640" t="s">
        <v>14</v>
      </c>
      <c r="D13" s="656" t="s">
        <v>27</v>
      </c>
      <c r="E13" s="657">
        <v>0.69916084967914427</v>
      </c>
      <c r="F13" s="658">
        <v>0</v>
      </c>
      <c r="G13" s="658">
        <v>0.17711741965785821</v>
      </c>
      <c r="H13" s="659">
        <v>0</v>
      </c>
      <c r="I13" s="644">
        <f t="shared" si="0"/>
        <v>0.87627826933700248</v>
      </c>
      <c r="J13" s="645">
        <f t="shared" si="7"/>
        <v>0.69916084967914427</v>
      </c>
      <c r="K13" s="646">
        <f t="shared" ref="K13:K28" si="9">F13*K$8*K$7</f>
        <v>0</v>
      </c>
      <c r="L13" s="646">
        <f t="shared" ref="L13:L28" si="10">G13*L$8*L$7</f>
        <v>0.17711741965785821</v>
      </c>
      <c r="M13" s="646">
        <f t="shared" ref="M13:M28" si="11">H13*M$8*M$7</f>
        <v>0</v>
      </c>
      <c r="N13" s="647">
        <f t="shared" si="3"/>
        <v>0.87627826933700248</v>
      </c>
      <c r="O13" s="648">
        <f t="shared" si="4"/>
        <v>0.1</v>
      </c>
      <c r="P13" s="649">
        <f t="shared" si="8"/>
        <v>0.96390609627070267</v>
      </c>
      <c r="Q13" s="650" t="str">
        <f t="shared" si="2"/>
        <v>m3</v>
      </c>
      <c r="S13" s="492" t="s">
        <v>743</v>
      </c>
      <c r="AL13" s="472" t="str">
        <f t="shared" si="5"/>
        <v>A1004</v>
      </c>
      <c r="AM13" s="472" t="str">
        <f t="shared" si="6"/>
        <v>Major Bulk Pushing/Dozing to achieve Final Land Forms</v>
      </c>
      <c r="AN13" s="474" t="s">
        <v>643</v>
      </c>
      <c r="AO13" s="474" t="s">
        <v>643</v>
      </c>
      <c r="AP13" s="474" t="s">
        <v>643</v>
      </c>
      <c r="AQ13" s="474" t="s">
        <v>643</v>
      </c>
      <c r="AR13" s="474"/>
      <c r="AS13" s="474" t="s">
        <v>643</v>
      </c>
      <c r="AT13" s="474" t="s">
        <v>643</v>
      </c>
      <c r="AU13" s="474"/>
      <c r="AV13" s="474"/>
      <c r="AW13" s="474"/>
      <c r="AX13" s="474"/>
      <c r="AY13" s="474"/>
      <c r="AZ13" s="474" t="s">
        <v>643</v>
      </c>
      <c r="BA13" s="474"/>
      <c r="BB13" s="474" t="s">
        <v>643</v>
      </c>
      <c r="BC13" s="474"/>
      <c r="BD13" s="474"/>
    </row>
    <row r="14" spans="1:58" ht="45" x14ac:dyDescent="0.25">
      <c r="A14" s="686" t="s">
        <v>16</v>
      </c>
      <c r="B14" s="651" t="s">
        <v>292</v>
      </c>
      <c r="C14" s="640" t="s">
        <v>853</v>
      </c>
      <c r="D14" s="656" t="s">
        <v>27</v>
      </c>
      <c r="E14" s="657">
        <v>0.71771327337149093</v>
      </c>
      <c r="F14" s="658">
        <v>0</v>
      </c>
      <c r="G14" s="658">
        <v>0.29015089285714285</v>
      </c>
      <c r="H14" s="659">
        <v>0</v>
      </c>
      <c r="I14" s="644">
        <f t="shared" si="0"/>
        <v>1.0078641662286338</v>
      </c>
      <c r="J14" s="645">
        <f t="shared" si="7"/>
        <v>0.71771327337149093</v>
      </c>
      <c r="K14" s="646">
        <f t="shared" si="9"/>
        <v>0</v>
      </c>
      <c r="L14" s="646">
        <f t="shared" si="10"/>
        <v>0.29015089285714285</v>
      </c>
      <c r="M14" s="646">
        <f t="shared" si="11"/>
        <v>0</v>
      </c>
      <c r="N14" s="647">
        <f t="shared" si="3"/>
        <v>1.0078641662286338</v>
      </c>
      <c r="O14" s="648">
        <f t="shared" si="4"/>
        <v>0.1</v>
      </c>
      <c r="P14" s="649">
        <f t="shared" si="8"/>
        <v>1.1086505828514972</v>
      </c>
      <c r="Q14" s="650" t="str">
        <f t="shared" si="2"/>
        <v>m3</v>
      </c>
      <c r="S14" s="492" t="s">
        <v>854</v>
      </c>
      <c r="AL14" s="472" t="str">
        <f t="shared" si="5"/>
        <v>A1005</v>
      </c>
      <c r="AM14" s="472" t="str">
        <f t="shared" si="6"/>
        <v>Load and haul of mined, processed, stockpiled materials or topsoil</v>
      </c>
      <c r="AN14" s="474"/>
      <c r="AO14" s="474"/>
      <c r="AP14" s="474"/>
      <c r="AQ14" s="474"/>
      <c r="AR14" s="474" t="s">
        <v>643</v>
      </c>
      <c r="AS14" s="474" t="s">
        <v>643</v>
      </c>
      <c r="AT14" s="474" t="s">
        <v>643</v>
      </c>
      <c r="AU14" s="474"/>
      <c r="AV14" s="474"/>
      <c r="AW14" s="474"/>
      <c r="AX14" s="474"/>
      <c r="AY14" s="474"/>
      <c r="AZ14" s="474" t="s">
        <v>643</v>
      </c>
      <c r="BA14" s="474"/>
      <c r="BB14" s="474"/>
      <c r="BC14" s="474"/>
      <c r="BD14" s="474"/>
    </row>
    <row r="15" spans="1:58" ht="45" x14ac:dyDescent="0.25">
      <c r="A15" s="686" t="s">
        <v>17</v>
      </c>
      <c r="B15" s="651" t="s">
        <v>292</v>
      </c>
      <c r="C15" s="640" t="s">
        <v>891</v>
      </c>
      <c r="D15" s="656" t="s">
        <v>27</v>
      </c>
      <c r="E15" s="657">
        <v>0.71771327337149093</v>
      </c>
      <c r="F15" s="658">
        <v>0</v>
      </c>
      <c r="G15" s="658">
        <v>0.29015089285714285</v>
      </c>
      <c r="H15" s="659">
        <v>0</v>
      </c>
      <c r="I15" s="644">
        <f t="shared" si="0"/>
        <v>1.0078641662286338</v>
      </c>
      <c r="J15" s="645">
        <f t="shared" si="7"/>
        <v>0.71771327337149093</v>
      </c>
      <c r="K15" s="646">
        <f t="shared" si="9"/>
        <v>0</v>
      </c>
      <c r="L15" s="646">
        <f t="shared" si="10"/>
        <v>0.29015089285714285</v>
      </c>
      <c r="M15" s="646">
        <f t="shared" si="11"/>
        <v>0</v>
      </c>
      <c r="N15" s="647">
        <f t="shared" si="3"/>
        <v>1.0078641662286338</v>
      </c>
      <c r="O15" s="648">
        <f t="shared" si="4"/>
        <v>0.1</v>
      </c>
      <c r="P15" s="649">
        <f t="shared" si="8"/>
        <v>1.1086505828514972</v>
      </c>
      <c r="Q15" s="650" t="str">
        <f t="shared" si="2"/>
        <v>m3</v>
      </c>
      <c r="S15" s="492" t="s">
        <v>892</v>
      </c>
      <c r="AL15" s="472" t="str">
        <f t="shared" si="5"/>
        <v>A1006</v>
      </c>
      <c r="AM15" s="472" t="str">
        <f t="shared" si="6"/>
        <v xml:space="preserve">Excavation of earthen materials from local borrow pits, plus haulage </v>
      </c>
      <c r="AN15" s="474"/>
      <c r="AO15" s="474" t="s">
        <v>643</v>
      </c>
      <c r="AP15" s="474" t="s">
        <v>643</v>
      </c>
      <c r="AQ15" s="474" t="s">
        <v>643</v>
      </c>
      <c r="AR15" s="474" t="s">
        <v>643</v>
      </c>
      <c r="AS15" s="474" t="s">
        <v>643</v>
      </c>
      <c r="AT15" s="474" t="s">
        <v>643</v>
      </c>
      <c r="AU15" s="474" t="s">
        <v>643</v>
      </c>
      <c r="AV15" s="474"/>
      <c r="AW15" s="474" t="s">
        <v>643</v>
      </c>
      <c r="AX15" s="474" t="s">
        <v>643</v>
      </c>
      <c r="AY15" s="474"/>
      <c r="AZ15" s="474" t="s">
        <v>643</v>
      </c>
      <c r="BA15" s="474"/>
      <c r="BB15" s="474" t="s">
        <v>643</v>
      </c>
      <c r="BC15" s="474"/>
      <c r="BD15" s="474"/>
    </row>
    <row r="16" spans="1:58" ht="30" x14ac:dyDescent="0.25">
      <c r="A16" s="686" t="s">
        <v>18</v>
      </c>
      <c r="B16" s="651" t="s">
        <v>292</v>
      </c>
      <c r="C16" s="640" t="s">
        <v>63</v>
      </c>
      <c r="D16" s="656" t="s">
        <v>27</v>
      </c>
      <c r="E16" s="657">
        <v>0.78989930921701879</v>
      </c>
      <c r="F16" s="658">
        <v>0</v>
      </c>
      <c r="G16" s="658">
        <v>0.20010406403940886</v>
      </c>
      <c r="H16" s="659">
        <v>0</v>
      </c>
      <c r="I16" s="644">
        <f t="shared" si="0"/>
        <v>0.99000337325642762</v>
      </c>
      <c r="J16" s="645">
        <f t="shared" si="7"/>
        <v>0.78989930921701879</v>
      </c>
      <c r="K16" s="646">
        <f t="shared" si="9"/>
        <v>0</v>
      </c>
      <c r="L16" s="646">
        <f t="shared" si="10"/>
        <v>0.20010406403940886</v>
      </c>
      <c r="M16" s="646">
        <f t="shared" si="11"/>
        <v>0</v>
      </c>
      <c r="N16" s="647">
        <f t="shared" si="3"/>
        <v>0.99000337325642762</v>
      </c>
      <c r="O16" s="648">
        <f t="shared" si="4"/>
        <v>0.1</v>
      </c>
      <c r="P16" s="649">
        <f t="shared" si="8"/>
        <v>1.0890037105820705</v>
      </c>
      <c r="Q16" s="650" t="str">
        <f t="shared" si="2"/>
        <v>m3</v>
      </c>
      <c r="S16" s="492" t="s">
        <v>744</v>
      </c>
      <c r="AL16" s="472" t="str">
        <f t="shared" si="5"/>
        <v>A1007</v>
      </c>
      <c r="AM16" s="472" t="str">
        <f t="shared" si="6"/>
        <v>Spreading Materials on ground or an open area excluding compaction (&gt;1,000m3)</v>
      </c>
      <c r="AN16" s="474"/>
      <c r="AO16" s="474" t="s">
        <v>643</v>
      </c>
      <c r="AP16" s="474" t="s">
        <v>643</v>
      </c>
      <c r="AQ16" s="474" t="s">
        <v>643</v>
      </c>
      <c r="AR16" s="474" t="s">
        <v>643</v>
      </c>
      <c r="AS16" s="474" t="s">
        <v>643</v>
      </c>
      <c r="AT16" s="474" t="s">
        <v>643</v>
      </c>
      <c r="AU16" s="474" t="s">
        <v>643</v>
      </c>
      <c r="AV16" s="474"/>
      <c r="AW16" s="474"/>
      <c r="AX16" s="474" t="s">
        <v>643</v>
      </c>
      <c r="AY16" s="474"/>
      <c r="AZ16" s="474" t="s">
        <v>643</v>
      </c>
      <c r="BA16" s="474"/>
      <c r="BB16" s="474" t="s">
        <v>643</v>
      </c>
      <c r="BC16" s="474"/>
      <c r="BD16" s="474"/>
    </row>
    <row r="17" spans="1:56" ht="30" x14ac:dyDescent="0.25">
      <c r="A17" s="686" t="s">
        <v>19</v>
      </c>
      <c r="B17" s="651" t="s">
        <v>292</v>
      </c>
      <c r="C17" s="640" t="s">
        <v>20</v>
      </c>
      <c r="D17" s="656" t="s">
        <v>28</v>
      </c>
      <c r="E17" s="657">
        <v>0.71647642987857452</v>
      </c>
      <c r="F17" s="658">
        <v>0</v>
      </c>
      <c r="G17" s="658">
        <v>0.31114511330506228</v>
      </c>
      <c r="H17" s="659">
        <v>0</v>
      </c>
      <c r="I17" s="644">
        <f t="shared" si="0"/>
        <v>1.0276215431836369</v>
      </c>
      <c r="J17" s="645">
        <f t="shared" si="7"/>
        <v>0.71647642987857452</v>
      </c>
      <c r="K17" s="646">
        <f t="shared" si="9"/>
        <v>0</v>
      </c>
      <c r="L17" s="646">
        <f t="shared" si="10"/>
        <v>0.31114511330506228</v>
      </c>
      <c r="M17" s="646">
        <f t="shared" si="11"/>
        <v>0</v>
      </c>
      <c r="N17" s="647">
        <f t="shared" si="3"/>
        <v>1.0276215431836369</v>
      </c>
      <c r="O17" s="648">
        <f t="shared" si="4"/>
        <v>0.1</v>
      </c>
      <c r="P17" s="649">
        <f t="shared" si="8"/>
        <v>1.1303836975020005</v>
      </c>
      <c r="Q17" s="650" t="str">
        <f t="shared" si="2"/>
        <v>/km/m3</v>
      </c>
      <c r="S17" s="492" t="s">
        <v>745</v>
      </c>
      <c r="AL17" s="472" t="str">
        <f t="shared" si="5"/>
        <v>A1008</v>
      </c>
      <c r="AM17" s="472" t="str">
        <f t="shared" si="6"/>
        <v>The haulage of materials per km per cubic metre of material</v>
      </c>
      <c r="AN17" s="474"/>
      <c r="AO17" s="474"/>
      <c r="AP17" s="474"/>
      <c r="AQ17" s="474"/>
      <c r="AR17" s="474"/>
      <c r="AS17" s="474"/>
      <c r="AT17" s="474"/>
      <c r="AU17" s="474"/>
      <c r="AV17" s="474" t="s">
        <v>643</v>
      </c>
      <c r="AW17" s="474"/>
      <c r="AX17" s="474"/>
      <c r="AY17" s="474"/>
      <c r="AZ17" s="474"/>
      <c r="BA17" s="474"/>
      <c r="BB17" s="474"/>
      <c r="BC17" s="474"/>
      <c r="BD17" s="474"/>
    </row>
    <row r="18" spans="1:56" ht="30" x14ac:dyDescent="0.25">
      <c r="A18" s="686" t="s">
        <v>21</v>
      </c>
      <c r="B18" s="651" t="s">
        <v>293</v>
      </c>
      <c r="C18" s="640" t="s">
        <v>966</v>
      </c>
      <c r="D18" s="656" t="s">
        <v>22</v>
      </c>
      <c r="E18" s="657">
        <v>182.82567924307909</v>
      </c>
      <c r="F18" s="658">
        <v>0</v>
      </c>
      <c r="G18" s="658">
        <v>111.30642006802721</v>
      </c>
      <c r="H18" s="659">
        <v>0</v>
      </c>
      <c r="I18" s="644">
        <f t="shared" si="0"/>
        <v>294.13209931110629</v>
      </c>
      <c r="J18" s="645">
        <f t="shared" si="7"/>
        <v>182.82567924307909</v>
      </c>
      <c r="K18" s="646">
        <f t="shared" si="9"/>
        <v>0</v>
      </c>
      <c r="L18" s="646">
        <f t="shared" si="10"/>
        <v>111.30642006802721</v>
      </c>
      <c r="M18" s="646">
        <f t="shared" si="11"/>
        <v>0</v>
      </c>
      <c r="N18" s="647">
        <f t="shared" si="3"/>
        <v>294.13209931110629</v>
      </c>
      <c r="O18" s="648">
        <f t="shared" si="4"/>
        <v>0.1</v>
      </c>
      <c r="P18" s="649">
        <f t="shared" si="8"/>
        <v>323.54530924221694</v>
      </c>
      <c r="Q18" s="650" t="str">
        <f t="shared" si="2"/>
        <v>Ha</v>
      </c>
      <c r="S18" s="492" t="s">
        <v>746</v>
      </c>
      <c r="AL18" s="472" t="str">
        <f t="shared" si="5"/>
        <v>A1009</v>
      </c>
      <c r="AM18" s="472" t="str">
        <f t="shared" si="6"/>
        <v>Scarification to promote vegetation growth</v>
      </c>
      <c r="AN18" s="474" t="s">
        <v>643</v>
      </c>
      <c r="AO18" s="474" t="s">
        <v>643</v>
      </c>
      <c r="AP18" s="474" t="s">
        <v>643</v>
      </c>
      <c r="AQ18" s="474" t="s">
        <v>643</v>
      </c>
      <c r="AR18" s="474" t="s">
        <v>643</v>
      </c>
      <c r="AS18" s="474" t="s">
        <v>643</v>
      </c>
      <c r="AT18" s="474" t="s">
        <v>643</v>
      </c>
      <c r="AU18" s="474" t="s">
        <v>643</v>
      </c>
      <c r="AV18" s="474" t="s">
        <v>643</v>
      </c>
      <c r="AW18" s="474" t="s">
        <v>643</v>
      </c>
      <c r="AX18" s="474" t="s">
        <v>643</v>
      </c>
      <c r="AY18" s="474" t="s">
        <v>643</v>
      </c>
      <c r="AZ18" s="474" t="s">
        <v>643</v>
      </c>
      <c r="BA18" s="474" t="s">
        <v>643</v>
      </c>
      <c r="BB18" s="474" t="s">
        <v>643</v>
      </c>
      <c r="BC18" s="474"/>
      <c r="BD18" s="474"/>
    </row>
    <row r="19" spans="1:56" ht="45" x14ac:dyDescent="0.25">
      <c r="A19" s="686" t="s">
        <v>23</v>
      </c>
      <c r="B19" s="651" t="s">
        <v>293</v>
      </c>
      <c r="C19" s="640" t="s">
        <v>673</v>
      </c>
      <c r="D19" s="656" t="s">
        <v>236</v>
      </c>
      <c r="E19" s="657">
        <v>90.417137738021253</v>
      </c>
      <c r="F19" s="658">
        <v>0</v>
      </c>
      <c r="G19" s="658">
        <v>65.983904761904768</v>
      </c>
      <c r="H19" s="659">
        <v>0</v>
      </c>
      <c r="I19" s="644">
        <f t="shared" si="0"/>
        <v>156.40104249992601</v>
      </c>
      <c r="J19" s="645">
        <f t="shared" si="7"/>
        <v>90.417137738021253</v>
      </c>
      <c r="K19" s="646">
        <f t="shared" si="9"/>
        <v>0</v>
      </c>
      <c r="L19" s="646">
        <f t="shared" si="10"/>
        <v>65.983904761904768</v>
      </c>
      <c r="M19" s="646">
        <f t="shared" si="11"/>
        <v>0</v>
      </c>
      <c r="N19" s="647">
        <f t="shared" si="3"/>
        <v>156.40104249992601</v>
      </c>
      <c r="O19" s="648">
        <f t="shared" si="4"/>
        <v>0.1</v>
      </c>
      <c r="P19" s="649">
        <f t="shared" si="8"/>
        <v>172.0411467499186</v>
      </c>
      <c r="Q19" s="650" t="str">
        <f t="shared" si="2"/>
        <v>m2</v>
      </c>
      <c r="S19" s="492" t="s">
        <v>1058</v>
      </c>
      <c r="AL19" s="472" t="str">
        <f t="shared" si="5"/>
        <v>A1010</v>
      </c>
      <c r="AM19" s="472" t="str">
        <f t="shared" si="6"/>
        <v>Demolish and remove concrete pads and footings - assumes reinforced concrete slab max 300 mm thick</v>
      </c>
      <c r="AN19" s="474"/>
      <c r="AO19" s="474"/>
      <c r="AP19" s="474"/>
      <c r="AQ19" s="474"/>
      <c r="AR19" s="474" t="s">
        <v>643</v>
      </c>
      <c r="AS19" s="474"/>
      <c r="AT19" s="474"/>
      <c r="AU19" s="474"/>
      <c r="AV19" s="474" t="s">
        <v>643</v>
      </c>
      <c r="AW19" s="474"/>
      <c r="AX19" s="474"/>
      <c r="AY19" s="474"/>
      <c r="AZ19" s="474"/>
      <c r="BA19" s="474"/>
      <c r="BB19" s="474"/>
      <c r="BC19" s="474"/>
      <c r="BD19" s="474"/>
    </row>
    <row r="20" spans="1:56" ht="30" x14ac:dyDescent="0.25">
      <c r="A20" s="686" t="s">
        <v>24</v>
      </c>
      <c r="B20" s="651" t="s">
        <v>292</v>
      </c>
      <c r="C20" s="640" t="s">
        <v>674</v>
      </c>
      <c r="D20" s="656" t="s">
        <v>236</v>
      </c>
      <c r="E20" s="657">
        <v>1.2301358626328702</v>
      </c>
      <c r="F20" s="658">
        <v>0</v>
      </c>
      <c r="G20" s="658">
        <v>0.5803017857142857</v>
      </c>
      <c r="H20" s="659">
        <v>0</v>
      </c>
      <c r="I20" s="644">
        <f t="shared" si="0"/>
        <v>1.8104376483471558</v>
      </c>
      <c r="J20" s="645">
        <f t="shared" si="7"/>
        <v>1.2301358626328702</v>
      </c>
      <c r="K20" s="646">
        <f t="shared" si="9"/>
        <v>0</v>
      </c>
      <c r="L20" s="646">
        <f t="shared" si="10"/>
        <v>0.5803017857142857</v>
      </c>
      <c r="M20" s="646">
        <f t="shared" si="11"/>
        <v>0</v>
      </c>
      <c r="N20" s="647">
        <f t="shared" si="3"/>
        <v>1.8104376483471558</v>
      </c>
      <c r="O20" s="648">
        <f t="shared" si="4"/>
        <v>0.1</v>
      </c>
      <c r="P20" s="649">
        <f t="shared" si="8"/>
        <v>1.9914814131818714</v>
      </c>
      <c r="Q20" s="650" t="str">
        <f t="shared" si="2"/>
        <v>m2</v>
      </c>
      <c r="S20" s="492" t="s">
        <v>924</v>
      </c>
      <c r="AL20" s="472" t="str">
        <f t="shared" si="5"/>
        <v>A1011</v>
      </c>
      <c r="AM20" s="472" t="str">
        <f t="shared" si="6"/>
        <v>Minor earthworks (e.g. grading, shaping). Applies where the quantity is less than 500 m2.</v>
      </c>
      <c r="AN20" s="474"/>
      <c r="AO20" s="474"/>
      <c r="AP20" s="474"/>
      <c r="AQ20" s="474"/>
      <c r="AR20" s="474"/>
      <c r="AS20" s="474"/>
      <c r="AT20" s="474"/>
      <c r="AU20" s="474"/>
      <c r="AV20" s="474" t="s">
        <v>643</v>
      </c>
      <c r="AW20" s="474"/>
      <c r="AX20" s="474"/>
      <c r="AY20" s="474"/>
      <c r="AZ20" s="474"/>
      <c r="BA20" s="474"/>
      <c r="BB20" s="474"/>
      <c r="BC20" s="474"/>
      <c r="BD20" s="474"/>
    </row>
    <row r="21" spans="1:56" ht="60" x14ac:dyDescent="0.25">
      <c r="A21" s="686" t="s">
        <v>25</v>
      </c>
      <c r="B21" s="651" t="s">
        <v>293</v>
      </c>
      <c r="C21" s="640" t="s">
        <v>64</v>
      </c>
      <c r="D21" s="656" t="s">
        <v>54</v>
      </c>
      <c r="E21" s="660">
        <v>0</v>
      </c>
      <c r="F21" s="659">
        <v>6180</v>
      </c>
      <c r="G21" s="659">
        <v>0</v>
      </c>
      <c r="H21" s="659">
        <v>5913.6296218246598</v>
      </c>
      <c r="I21" s="661">
        <f t="shared" si="0"/>
        <v>12093.629621824661</v>
      </c>
      <c r="J21" s="645">
        <f t="shared" si="7"/>
        <v>0</v>
      </c>
      <c r="K21" s="646">
        <f t="shared" si="9"/>
        <v>6180</v>
      </c>
      <c r="L21" s="646">
        <f t="shared" si="10"/>
        <v>0</v>
      </c>
      <c r="M21" s="646">
        <f t="shared" si="11"/>
        <v>5913.6296218246598</v>
      </c>
      <c r="N21" s="647">
        <f t="shared" si="3"/>
        <v>12093.629621824661</v>
      </c>
      <c r="O21" s="648">
        <f t="shared" si="4"/>
        <v>0.1</v>
      </c>
      <c r="P21" s="649">
        <f t="shared" si="8"/>
        <v>13302.992584007126</v>
      </c>
      <c r="Q21" s="650" t="str">
        <f t="shared" si="2"/>
        <v>km</v>
      </c>
      <c r="S21" s="492" t="s">
        <v>747</v>
      </c>
      <c r="AL21" s="472" t="str">
        <f t="shared" si="5"/>
        <v>A1012</v>
      </c>
      <c r="AM21" s="472" t="str">
        <f t="shared" si="6"/>
        <v xml:space="preserve">Construction of a stock proof fence including appropriate gates </v>
      </c>
      <c r="AN21" s="474" t="s">
        <v>643</v>
      </c>
      <c r="AO21" s="474" t="s">
        <v>643</v>
      </c>
      <c r="AP21" s="474" t="s">
        <v>643</v>
      </c>
      <c r="AQ21" s="474" t="s">
        <v>643</v>
      </c>
      <c r="AR21" s="474" t="s">
        <v>643</v>
      </c>
      <c r="AS21" s="474" t="s">
        <v>643</v>
      </c>
      <c r="AT21" s="474" t="s">
        <v>643</v>
      </c>
      <c r="AU21" s="474" t="s">
        <v>643</v>
      </c>
      <c r="AV21" s="474"/>
      <c r="AW21" s="474" t="s">
        <v>643</v>
      </c>
      <c r="AX21" s="474" t="s">
        <v>643</v>
      </c>
      <c r="AY21" s="474"/>
      <c r="AZ21" s="474" t="s">
        <v>643</v>
      </c>
      <c r="BA21" s="474"/>
      <c r="BB21" s="474"/>
      <c r="BC21" s="474"/>
      <c r="BD21" s="474"/>
    </row>
    <row r="22" spans="1:56" ht="45" x14ac:dyDescent="0.25">
      <c r="A22" s="686" t="s">
        <v>70</v>
      </c>
      <c r="B22" s="651" t="s">
        <v>293</v>
      </c>
      <c r="C22" s="640" t="s">
        <v>71</v>
      </c>
      <c r="D22" s="656" t="s">
        <v>27</v>
      </c>
      <c r="E22" s="657">
        <v>0.90732571381847915</v>
      </c>
      <c r="F22" s="658">
        <v>0</v>
      </c>
      <c r="G22" s="658">
        <v>0.39170370535714288</v>
      </c>
      <c r="H22" s="659">
        <v>0</v>
      </c>
      <c r="I22" s="644">
        <f t="shared" si="0"/>
        <v>1.299029419175622</v>
      </c>
      <c r="J22" s="645">
        <f t="shared" si="7"/>
        <v>0.90732571381847915</v>
      </c>
      <c r="K22" s="646">
        <f t="shared" si="9"/>
        <v>0</v>
      </c>
      <c r="L22" s="646">
        <f t="shared" si="10"/>
        <v>0.39170370535714288</v>
      </c>
      <c r="M22" s="646">
        <f t="shared" si="11"/>
        <v>0</v>
      </c>
      <c r="N22" s="647">
        <f t="shared" si="3"/>
        <v>1.299029419175622</v>
      </c>
      <c r="O22" s="648">
        <f t="shared" si="4"/>
        <v>0.1</v>
      </c>
      <c r="P22" s="649">
        <f t="shared" si="8"/>
        <v>1.4289323610931841</v>
      </c>
      <c r="Q22" s="650" t="str">
        <f t="shared" si="2"/>
        <v>m3</v>
      </c>
      <c r="S22" s="492" t="s">
        <v>748</v>
      </c>
      <c r="AL22" s="472" t="str">
        <f t="shared" si="5"/>
        <v>A1013</v>
      </c>
      <c r="AM22" s="472" t="str">
        <f t="shared" si="6"/>
        <v>Sourcing, Carting and Spreading of Topsoil over an Area</v>
      </c>
      <c r="AN22" s="474" t="s">
        <v>643</v>
      </c>
      <c r="AO22" s="474" t="s">
        <v>643</v>
      </c>
      <c r="AP22" s="474" t="s">
        <v>643</v>
      </c>
      <c r="AQ22" s="474" t="s">
        <v>643</v>
      </c>
      <c r="AR22" s="474" t="s">
        <v>643</v>
      </c>
      <c r="AS22" s="474" t="s">
        <v>643</v>
      </c>
      <c r="AT22" s="474" t="s">
        <v>643</v>
      </c>
      <c r="AU22" s="474" t="s">
        <v>643</v>
      </c>
      <c r="AV22" s="474" t="s">
        <v>643</v>
      </c>
      <c r="AW22" s="474" t="s">
        <v>643</v>
      </c>
      <c r="AX22" s="474" t="s">
        <v>643</v>
      </c>
      <c r="AY22" s="474"/>
      <c r="AZ22" s="474" t="s">
        <v>643</v>
      </c>
      <c r="BA22" s="474"/>
      <c r="BB22" s="474" t="s">
        <v>643</v>
      </c>
      <c r="BC22" s="474"/>
      <c r="BD22" s="474"/>
    </row>
    <row r="23" spans="1:56" ht="45" x14ac:dyDescent="0.25">
      <c r="A23" s="686" t="s">
        <v>78</v>
      </c>
      <c r="B23" s="651" t="s">
        <v>292</v>
      </c>
      <c r="C23" s="640" t="s">
        <v>82</v>
      </c>
      <c r="D23" s="656" t="s">
        <v>27</v>
      </c>
      <c r="E23" s="657">
        <v>2.5312001362769152</v>
      </c>
      <c r="F23" s="658">
        <v>0</v>
      </c>
      <c r="G23" s="658">
        <v>0.87045267857142861</v>
      </c>
      <c r="H23" s="659">
        <v>0</v>
      </c>
      <c r="I23" s="644">
        <f t="shared" si="0"/>
        <v>3.4016528148483438</v>
      </c>
      <c r="J23" s="645">
        <f t="shared" si="7"/>
        <v>2.5312001362769152</v>
      </c>
      <c r="K23" s="646">
        <f t="shared" si="9"/>
        <v>0</v>
      </c>
      <c r="L23" s="646">
        <f t="shared" si="10"/>
        <v>0.87045267857142861</v>
      </c>
      <c r="M23" s="646">
        <f t="shared" si="11"/>
        <v>0</v>
      </c>
      <c r="N23" s="647">
        <f t="shared" si="3"/>
        <v>3.4016528148483438</v>
      </c>
      <c r="O23" s="648">
        <f t="shared" si="4"/>
        <v>0.1</v>
      </c>
      <c r="P23" s="649">
        <f t="shared" si="8"/>
        <v>3.7418180963331782</v>
      </c>
      <c r="Q23" s="650" t="str">
        <f t="shared" si="2"/>
        <v>m3</v>
      </c>
      <c r="S23" s="492" t="s">
        <v>749</v>
      </c>
      <c r="AL23" s="472" t="str">
        <f t="shared" si="5"/>
        <v>A1014</v>
      </c>
      <c r="AM23" s="472" t="str">
        <f t="shared" si="6"/>
        <v xml:space="preserve">Consolidation of loose Stockpiles of Waste and/or Ore </v>
      </c>
      <c r="AN23" s="474"/>
      <c r="AO23" s="474"/>
      <c r="AP23" s="474" t="s">
        <v>643</v>
      </c>
      <c r="AQ23" s="474" t="s">
        <v>643</v>
      </c>
      <c r="AR23" s="474"/>
      <c r="AS23" s="474"/>
      <c r="AT23" s="474"/>
      <c r="AU23" s="474"/>
      <c r="AV23" s="474"/>
      <c r="AW23" s="474"/>
      <c r="AX23" s="474"/>
      <c r="AY23" s="474"/>
      <c r="AZ23" s="474"/>
      <c r="BA23" s="474"/>
      <c r="BB23" s="474" t="s">
        <v>643</v>
      </c>
      <c r="BC23" s="474"/>
      <c r="BD23" s="474"/>
    </row>
    <row r="24" spans="1:56" ht="60" x14ac:dyDescent="0.25">
      <c r="A24" s="686" t="s">
        <v>79</v>
      </c>
      <c r="B24" s="662" t="s">
        <v>292</v>
      </c>
      <c r="C24" s="663" t="s">
        <v>675</v>
      </c>
      <c r="D24" s="656" t="s">
        <v>22</v>
      </c>
      <c r="E24" s="657">
        <v>1845.2037939493052</v>
      </c>
      <c r="F24" s="658">
        <v>0</v>
      </c>
      <c r="G24" s="658">
        <v>870.45267857142858</v>
      </c>
      <c r="H24" s="659">
        <v>0</v>
      </c>
      <c r="I24" s="644">
        <f t="shared" si="0"/>
        <v>2715.6564725207336</v>
      </c>
      <c r="J24" s="645">
        <f t="shared" si="7"/>
        <v>1845.2037939493052</v>
      </c>
      <c r="K24" s="646">
        <f t="shared" si="9"/>
        <v>0</v>
      </c>
      <c r="L24" s="646">
        <f t="shared" si="10"/>
        <v>870.45267857142858</v>
      </c>
      <c r="M24" s="646">
        <f t="shared" si="11"/>
        <v>0</v>
      </c>
      <c r="N24" s="647">
        <f t="shared" si="3"/>
        <v>2715.6564725207336</v>
      </c>
      <c r="O24" s="648">
        <f t="shared" si="4"/>
        <v>0.1</v>
      </c>
      <c r="P24" s="649">
        <f t="shared" si="8"/>
        <v>2987.2221197728068</v>
      </c>
      <c r="Q24" s="650" t="str">
        <f t="shared" si="2"/>
        <v>Ha</v>
      </c>
      <c r="S24" s="492" t="s">
        <v>904</v>
      </c>
      <c r="AL24" s="472" t="str">
        <f t="shared" si="5"/>
        <v>A1015</v>
      </c>
      <c r="AM24" s="472" t="str">
        <f t="shared" si="6"/>
        <v>Minor Shaping across a Dump or Disturbed Area</v>
      </c>
      <c r="AN24" s="474" t="s">
        <v>643</v>
      </c>
      <c r="AO24" s="474"/>
      <c r="AP24" s="474" t="s">
        <v>643</v>
      </c>
      <c r="AQ24" s="474" t="s">
        <v>643</v>
      </c>
      <c r="AR24" s="474" t="s">
        <v>643</v>
      </c>
      <c r="AS24" s="474" t="s">
        <v>643</v>
      </c>
      <c r="AT24" s="474"/>
      <c r="AU24" s="474" t="s">
        <v>643</v>
      </c>
      <c r="AV24" s="474"/>
      <c r="AW24" s="474" t="s">
        <v>643</v>
      </c>
      <c r="AX24" s="474" t="s">
        <v>643</v>
      </c>
      <c r="AY24" s="474" t="s">
        <v>643</v>
      </c>
      <c r="AZ24" s="474"/>
      <c r="BA24" s="474" t="s">
        <v>643</v>
      </c>
      <c r="BB24" s="474" t="s">
        <v>643</v>
      </c>
      <c r="BC24" s="474"/>
      <c r="BD24" s="474"/>
    </row>
    <row r="25" spans="1:56" ht="45" x14ac:dyDescent="0.25">
      <c r="A25" s="686" t="s">
        <v>81</v>
      </c>
      <c r="B25" s="651" t="s">
        <v>292</v>
      </c>
      <c r="C25" s="640" t="s">
        <v>83</v>
      </c>
      <c r="D25" s="656" t="s">
        <v>26</v>
      </c>
      <c r="E25" s="657">
        <v>34.176342218588175</v>
      </c>
      <c r="F25" s="658">
        <v>0</v>
      </c>
      <c r="G25" s="658">
        <v>17.409053571428572</v>
      </c>
      <c r="H25" s="659">
        <v>0</v>
      </c>
      <c r="I25" s="644">
        <f t="shared" ref="I25" si="12">SUM(E25:H25)</f>
        <v>51.585395790016747</v>
      </c>
      <c r="J25" s="645">
        <f t="shared" ref="J25" si="13">E25*J$8*J$7</f>
        <v>34.176342218588175</v>
      </c>
      <c r="K25" s="646">
        <f t="shared" ref="K25" si="14">F25*K$8*K$7</f>
        <v>0</v>
      </c>
      <c r="L25" s="646">
        <f t="shared" ref="L25" si="15">G25*L$8*L$7</f>
        <v>17.409053571428572</v>
      </c>
      <c r="M25" s="646">
        <f t="shared" ref="M25" si="16">H25*M$8*M$7</f>
        <v>0</v>
      </c>
      <c r="N25" s="647">
        <f t="shared" ref="N25" si="17">SUM(J25:M25)</f>
        <v>51.585395790016747</v>
      </c>
      <c r="O25" s="648">
        <f t="shared" si="4"/>
        <v>0.1</v>
      </c>
      <c r="P25" s="649">
        <f t="shared" ref="P25" si="18">N25+(N25*O25)</f>
        <v>56.743935369018423</v>
      </c>
      <c r="Q25" s="650" t="str">
        <f t="shared" ref="Q25" si="19">D25</f>
        <v>Lin m</v>
      </c>
      <c r="S25" s="492" t="s">
        <v>750</v>
      </c>
      <c r="AL25" s="472" t="str">
        <f t="shared" ref="AL25" si="20">A25</f>
        <v>A1016</v>
      </c>
      <c r="AM25" s="472" t="str">
        <f t="shared" ref="AM25" si="21">C25</f>
        <v>Construction of Berm or Barrier to prevent Access</v>
      </c>
      <c r="AN25" s="474"/>
      <c r="AO25" s="474"/>
      <c r="AP25" s="474" t="s">
        <v>643</v>
      </c>
      <c r="AQ25" s="474" t="s">
        <v>643</v>
      </c>
      <c r="AR25" s="474"/>
      <c r="AS25" s="474"/>
      <c r="AT25" s="474"/>
      <c r="AU25" s="474"/>
      <c r="AV25" s="474"/>
      <c r="AW25" s="474"/>
      <c r="AX25" s="474"/>
      <c r="AY25" s="474"/>
      <c r="AZ25" s="474"/>
      <c r="BA25" s="474"/>
      <c r="BB25" s="474" t="s">
        <v>643</v>
      </c>
      <c r="BC25" s="474"/>
      <c r="BD25" s="474"/>
    </row>
    <row r="26" spans="1:56" ht="105" x14ac:dyDescent="0.25">
      <c r="A26" s="686" t="s">
        <v>80</v>
      </c>
      <c r="B26" s="651" t="s">
        <v>292</v>
      </c>
      <c r="C26" s="640" t="s">
        <v>614</v>
      </c>
      <c r="D26" s="656" t="s">
        <v>22</v>
      </c>
      <c r="E26" s="657">
        <v>4429.5133017170901</v>
      </c>
      <c r="F26" s="658">
        <v>1275</v>
      </c>
      <c r="G26" s="658">
        <v>1392.724285714286</v>
      </c>
      <c r="H26" s="659">
        <v>0</v>
      </c>
      <c r="I26" s="644">
        <f t="shared" si="0"/>
        <v>7097.2375874313766</v>
      </c>
      <c r="J26" s="645">
        <f t="shared" si="7"/>
        <v>4429.5133017170901</v>
      </c>
      <c r="K26" s="646">
        <f t="shared" si="9"/>
        <v>1275</v>
      </c>
      <c r="L26" s="646">
        <f t="shared" si="10"/>
        <v>1392.724285714286</v>
      </c>
      <c r="M26" s="646">
        <f t="shared" si="11"/>
        <v>0</v>
      </c>
      <c r="N26" s="647">
        <f t="shared" si="3"/>
        <v>7097.2375874313766</v>
      </c>
      <c r="O26" s="648">
        <f t="shared" si="4"/>
        <v>0.1</v>
      </c>
      <c r="P26" s="649">
        <f t="shared" si="8"/>
        <v>7806.9613461745139</v>
      </c>
      <c r="Q26" s="650" t="str">
        <f t="shared" si="2"/>
        <v>Ha</v>
      </c>
      <c r="S26" s="492" t="s">
        <v>535</v>
      </c>
      <c r="AL26" s="472" t="str">
        <f t="shared" si="5"/>
        <v>A1017</v>
      </c>
      <c r="AM26" s="472" t="str">
        <f t="shared" si="6"/>
        <v>Construction of Water Run-off Management Structures and/or Dams</v>
      </c>
      <c r="AN26" s="474"/>
      <c r="AO26" s="474"/>
      <c r="AP26" s="474" t="s">
        <v>643</v>
      </c>
      <c r="AQ26" s="474" t="s">
        <v>643</v>
      </c>
      <c r="AR26" s="474"/>
      <c r="AS26" s="474"/>
      <c r="AT26" s="474"/>
      <c r="AU26" s="474"/>
      <c r="AV26" s="474"/>
      <c r="AW26" s="474"/>
      <c r="AX26" s="474"/>
      <c r="AY26" s="474"/>
      <c r="AZ26" s="474" t="s">
        <v>643</v>
      </c>
      <c r="BA26" s="474"/>
      <c r="BB26" s="474" t="s">
        <v>643</v>
      </c>
      <c r="BC26" s="474"/>
      <c r="BD26" s="474"/>
    </row>
    <row r="27" spans="1:56" ht="105" x14ac:dyDescent="0.25">
      <c r="A27" s="686" t="s">
        <v>87</v>
      </c>
      <c r="B27" s="651" t="s">
        <v>292</v>
      </c>
      <c r="C27" s="640" t="s">
        <v>88</v>
      </c>
      <c r="D27" s="656" t="s">
        <v>27</v>
      </c>
      <c r="E27" s="657">
        <v>0</v>
      </c>
      <c r="F27" s="658">
        <v>1.7100206850762567</v>
      </c>
      <c r="G27" s="658">
        <v>0</v>
      </c>
      <c r="H27" s="659">
        <v>1.3740049137035271</v>
      </c>
      <c r="I27" s="644">
        <f t="shared" si="0"/>
        <v>3.0840255987797836</v>
      </c>
      <c r="J27" s="645">
        <f t="shared" si="7"/>
        <v>0</v>
      </c>
      <c r="K27" s="646">
        <f t="shared" si="9"/>
        <v>1.7100206850762567</v>
      </c>
      <c r="L27" s="646">
        <f t="shared" si="10"/>
        <v>0</v>
      </c>
      <c r="M27" s="646">
        <f t="shared" si="11"/>
        <v>1.3740049137035271</v>
      </c>
      <c r="N27" s="647">
        <f t="shared" si="3"/>
        <v>3.0840255987797836</v>
      </c>
      <c r="O27" s="648">
        <f t="shared" si="4"/>
        <v>0.1</v>
      </c>
      <c r="P27" s="649">
        <f t="shared" si="8"/>
        <v>3.3924281586577618</v>
      </c>
      <c r="Q27" s="650" t="str">
        <f t="shared" si="2"/>
        <v>m3</v>
      </c>
      <c r="S27" s="492" t="s">
        <v>751</v>
      </c>
      <c r="AL27" s="472" t="str">
        <f t="shared" si="5"/>
        <v>A1018</v>
      </c>
      <c r="AM27" s="472" t="str">
        <f t="shared" si="6"/>
        <v xml:space="preserve">Drill and Blast the top bench to half height </v>
      </c>
      <c r="AN27" s="474"/>
      <c r="AO27" s="474"/>
      <c r="AP27" s="474" t="s">
        <v>643</v>
      </c>
      <c r="AQ27" s="474"/>
      <c r="AR27" s="474"/>
      <c r="AS27" s="474"/>
      <c r="AT27" s="474"/>
      <c r="AU27" s="474"/>
      <c r="AV27" s="474"/>
      <c r="AW27" s="474"/>
      <c r="AX27" s="474"/>
      <c r="AY27" s="474"/>
      <c r="AZ27" s="474"/>
      <c r="BA27" s="474"/>
      <c r="BB27" s="474" t="s">
        <v>643</v>
      </c>
      <c r="BC27" s="474"/>
      <c r="BD27" s="474"/>
    </row>
    <row r="28" spans="1:56" ht="30" x14ac:dyDescent="0.25">
      <c r="A28" s="686" t="s">
        <v>92</v>
      </c>
      <c r="B28" s="651" t="s">
        <v>292</v>
      </c>
      <c r="C28" s="640" t="s">
        <v>676</v>
      </c>
      <c r="D28" s="656" t="s">
        <v>54</v>
      </c>
      <c r="E28" s="657">
        <v>0</v>
      </c>
      <c r="F28" s="658">
        <v>43393.9</v>
      </c>
      <c r="G28" s="658">
        <v>0</v>
      </c>
      <c r="H28" s="659">
        <v>28089.740703667136</v>
      </c>
      <c r="I28" s="644">
        <f t="shared" si="0"/>
        <v>71483.64070366713</v>
      </c>
      <c r="J28" s="645">
        <f t="shared" si="7"/>
        <v>0</v>
      </c>
      <c r="K28" s="646">
        <f t="shared" si="9"/>
        <v>43393.9</v>
      </c>
      <c r="L28" s="646">
        <f t="shared" si="10"/>
        <v>0</v>
      </c>
      <c r="M28" s="646">
        <f t="shared" si="11"/>
        <v>28089.740703667136</v>
      </c>
      <c r="N28" s="647">
        <f t="shared" si="3"/>
        <v>71483.64070366713</v>
      </c>
      <c r="O28" s="648">
        <f t="shared" si="4"/>
        <v>0.1</v>
      </c>
      <c r="P28" s="649">
        <f t="shared" si="8"/>
        <v>78632.004774033849</v>
      </c>
      <c r="Q28" s="650" t="str">
        <f t="shared" ref="Q28:Q44" si="22">D28</f>
        <v>km</v>
      </c>
      <c r="S28" s="492" t="s">
        <v>752</v>
      </c>
      <c r="AL28" s="472" t="str">
        <f t="shared" si="5"/>
        <v>A1019</v>
      </c>
      <c r="AM28" s="472" t="str">
        <f t="shared" si="6"/>
        <v xml:space="preserve">Construction of a 6' chain mesh security fience around the perimeter </v>
      </c>
      <c r="AN28" s="474"/>
      <c r="AO28" s="474"/>
      <c r="AP28" s="474" t="s">
        <v>643</v>
      </c>
      <c r="AQ28" s="474"/>
      <c r="AR28" s="474"/>
      <c r="AS28" s="474"/>
      <c r="AT28" s="474"/>
      <c r="AU28" s="474"/>
      <c r="AV28" s="474"/>
      <c r="AW28" s="474"/>
      <c r="AX28" s="474"/>
      <c r="AY28" s="474"/>
      <c r="AZ28" s="474"/>
      <c r="BA28" s="474"/>
      <c r="BB28" s="474" t="s">
        <v>643</v>
      </c>
      <c r="BC28" s="474"/>
      <c r="BD28" s="474"/>
    </row>
    <row r="29" spans="1:56" ht="90" x14ac:dyDescent="0.25">
      <c r="A29" s="686" t="s">
        <v>184</v>
      </c>
      <c r="B29" s="651" t="s">
        <v>294</v>
      </c>
      <c r="C29" s="640" t="s">
        <v>185</v>
      </c>
      <c r="D29" s="664" t="s">
        <v>12</v>
      </c>
      <c r="E29" s="657">
        <v>0</v>
      </c>
      <c r="F29" s="658">
        <v>0</v>
      </c>
      <c r="G29" s="658">
        <v>0</v>
      </c>
      <c r="H29" s="659">
        <v>50000</v>
      </c>
      <c r="I29" s="644">
        <f t="shared" si="0"/>
        <v>50000</v>
      </c>
      <c r="J29" s="645">
        <f t="shared" ref="J29:M32" si="23">E29*J$8*J$7</f>
        <v>0</v>
      </c>
      <c r="K29" s="646">
        <f t="shared" si="23"/>
        <v>0</v>
      </c>
      <c r="L29" s="646">
        <f t="shared" si="23"/>
        <v>0</v>
      </c>
      <c r="M29" s="646">
        <f t="shared" si="23"/>
        <v>50000</v>
      </c>
      <c r="N29" s="647">
        <f t="shared" si="3"/>
        <v>50000</v>
      </c>
      <c r="O29" s="665"/>
      <c r="P29" s="649">
        <f t="shared" si="8"/>
        <v>50000</v>
      </c>
      <c r="Q29" s="650" t="str">
        <f t="shared" si="22"/>
        <v>Item</v>
      </c>
      <c r="S29" s="492" t="s">
        <v>753</v>
      </c>
      <c r="AL29" s="472" t="str">
        <f t="shared" si="5"/>
        <v>A1020</v>
      </c>
      <c r="AM29" s="472" t="str">
        <f t="shared" si="6"/>
        <v>Monitoring (Extractive Industries)</v>
      </c>
      <c r="AN29" s="474"/>
      <c r="AO29" s="474"/>
      <c r="AP29" s="474"/>
      <c r="AQ29" s="474"/>
      <c r="AR29" s="474"/>
      <c r="AS29" s="474"/>
      <c r="AT29" s="474"/>
      <c r="AU29" s="474"/>
      <c r="AV29" s="474"/>
      <c r="AW29" s="474"/>
      <c r="AX29" s="474"/>
      <c r="AY29" s="474"/>
      <c r="AZ29" s="474"/>
      <c r="BA29" s="474"/>
      <c r="BB29" s="474"/>
      <c r="BC29" s="474"/>
      <c r="BD29" s="474" t="s">
        <v>643</v>
      </c>
    </row>
    <row r="30" spans="1:56" ht="105" x14ac:dyDescent="0.25">
      <c r="A30" s="686" t="s">
        <v>186</v>
      </c>
      <c r="B30" s="651" t="s">
        <v>294</v>
      </c>
      <c r="C30" s="640" t="s">
        <v>677</v>
      </c>
      <c r="D30" s="664" t="s">
        <v>12</v>
      </c>
      <c r="E30" s="657">
        <v>0</v>
      </c>
      <c r="F30" s="658">
        <v>0</v>
      </c>
      <c r="G30" s="658">
        <v>0</v>
      </c>
      <c r="H30" s="659">
        <v>70000</v>
      </c>
      <c r="I30" s="644">
        <f t="shared" si="0"/>
        <v>70000</v>
      </c>
      <c r="J30" s="645">
        <f t="shared" si="23"/>
        <v>0</v>
      </c>
      <c r="K30" s="646">
        <f t="shared" si="23"/>
        <v>0</v>
      </c>
      <c r="L30" s="646">
        <f t="shared" si="23"/>
        <v>0</v>
      </c>
      <c r="M30" s="646">
        <f t="shared" si="23"/>
        <v>70000</v>
      </c>
      <c r="N30" s="647">
        <f t="shared" si="3"/>
        <v>70000</v>
      </c>
      <c r="O30" s="665"/>
      <c r="P30" s="649">
        <f t="shared" si="8"/>
        <v>70000</v>
      </c>
      <c r="Q30" s="650" t="str">
        <f t="shared" si="22"/>
        <v>Item</v>
      </c>
      <c r="S30" s="492" t="s">
        <v>754</v>
      </c>
      <c r="AL30" s="472" t="str">
        <f t="shared" si="5"/>
        <v>A1021</v>
      </c>
      <c r="AM30" s="472" t="str">
        <f t="shared" si="6"/>
        <v>Monitoring (Mining Operations free of Sulphides and Radioactive materials)</v>
      </c>
      <c r="AN30" s="474"/>
      <c r="AO30" s="474"/>
      <c r="AP30" s="474"/>
      <c r="AQ30" s="474"/>
      <c r="AR30" s="474"/>
      <c r="AS30" s="474"/>
      <c r="AT30" s="474"/>
      <c r="AU30" s="474"/>
      <c r="AV30" s="474"/>
      <c r="AW30" s="474"/>
      <c r="AX30" s="474"/>
      <c r="AY30" s="474"/>
      <c r="AZ30" s="474"/>
      <c r="BA30" s="474"/>
      <c r="BB30" s="474"/>
      <c r="BC30" s="474"/>
      <c r="BD30" s="474" t="s">
        <v>643</v>
      </c>
    </row>
    <row r="31" spans="1:56" ht="105" x14ac:dyDescent="0.25">
      <c r="A31" s="686" t="s">
        <v>188</v>
      </c>
      <c r="B31" s="651" t="s">
        <v>294</v>
      </c>
      <c r="C31" s="640" t="s">
        <v>678</v>
      </c>
      <c r="D31" s="664" t="s">
        <v>12</v>
      </c>
      <c r="E31" s="657">
        <v>0</v>
      </c>
      <c r="F31" s="658">
        <v>0</v>
      </c>
      <c r="G31" s="658">
        <v>0</v>
      </c>
      <c r="H31" s="659">
        <v>90000</v>
      </c>
      <c r="I31" s="644">
        <f t="shared" si="0"/>
        <v>90000</v>
      </c>
      <c r="J31" s="645">
        <f t="shared" si="23"/>
        <v>0</v>
      </c>
      <c r="K31" s="646">
        <f t="shared" si="23"/>
        <v>0</v>
      </c>
      <c r="L31" s="646">
        <f t="shared" si="23"/>
        <v>0</v>
      </c>
      <c r="M31" s="646">
        <f t="shared" si="23"/>
        <v>90000</v>
      </c>
      <c r="N31" s="647">
        <f t="shared" si="3"/>
        <v>90000</v>
      </c>
      <c r="O31" s="665"/>
      <c r="P31" s="649">
        <f t="shared" si="8"/>
        <v>90000</v>
      </c>
      <c r="Q31" s="650" t="str">
        <f t="shared" si="22"/>
        <v>Item</v>
      </c>
      <c r="S31" s="492" t="s">
        <v>755</v>
      </c>
      <c r="AL31" s="472" t="str">
        <f t="shared" si="5"/>
        <v>A1022</v>
      </c>
      <c r="AM31" s="472" t="str">
        <f t="shared" si="6"/>
        <v>Monitoring (Radioactive Materials - but not Sulphidic Materials)</v>
      </c>
      <c r="AN31" s="474"/>
      <c r="AO31" s="474"/>
      <c r="AP31" s="474"/>
      <c r="AQ31" s="474"/>
      <c r="AR31" s="474"/>
      <c r="AS31" s="474"/>
      <c r="AT31" s="474"/>
      <c r="AU31" s="474"/>
      <c r="AV31" s="474"/>
      <c r="AW31" s="474"/>
      <c r="AX31" s="474"/>
      <c r="AY31" s="474"/>
      <c r="AZ31" s="474"/>
      <c r="BA31" s="474"/>
      <c r="BB31" s="474"/>
      <c r="BC31" s="474"/>
      <c r="BD31" s="474" t="s">
        <v>643</v>
      </c>
    </row>
    <row r="32" spans="1:56" ht="90" x14ac:dyDescent="0.25">
      <c r="A32" s="686" t="s">
        <v>190</v>
      </c>
      <c r="B32" s="651" t="s">
        <v>294</v>
      </c>
      <c r="C32" s="640" t="s">
        <v>679</v>
      </c>
      <c r="D32" s="664" t="s">
        <v>12</v>
      </c>
      <c r="E32" s="657">
        <v>0</v>
      </c>
      <c r="F32" s="658">
        <v>0</v>
      </c>
      <c r="G32" s="658">
        <v>0</v>
      </c>
      <c r="H32" s="659">
        <v>100000</v>
      </c>
      <c r="I32" s="644">
        <f t="shared" si="0"/>
        <v>100000</v>
      </c>
      <c r="J32" s="645">
        <f t="shared" si="23"/>
        <v>0</v>
      </c>
      <c r="K32" s="646">
        <f t="shared" si="23"/>
        <v>0</v>
      </c>
      <c r="L32" s="646">
        <f t="shared" si="23"/>
        <v>0</v>
      </c>
      <c r="M32" s="646">
        <f t="shared" si="23"/>
        <v>100000</v>
      </c>
      <c r="N32" s="647">
        <f t="shared" si="3"/>
        <v>100000</v>
      </c>
      <c r="O32" s="665"/>
      <c r="P32" s="649">
        <f t="shared" si="8"/>
        <v>100000</v>
      </c>
      <c r="Q32" s="650" t="str">
        <f t="shared" si="22"/>
        <v>Item</v>
      </c>
      <c r="S32" s="492" t="s">
        <v>756</v>
      </c>
      <c r="AL32" s="472" t="str">
        <f t="shared" si="5"/>
        <v>A1023</v>
      </c>
      <c r="AM32" s="472" t="str">
        <f t="shared" si="6"/>
        <v>Monitoring (Mining Operations mining Sulphidic Materials)</v>
      </c>
      <c r="AN32" s="474"/>
      <c r="AO32" s="474"/>
      <c r="AP32" s="474"/>
      <c r="AQ32" s="474"/>
      <c r="AR32" s="474"/>
      <c r="AS32" s="474"/>
      <c r="AT32" s="474"/>
      <c r="AU32" s="474"/>
      <c r="AV32" s="474"/>
      <c r="AW32" s="474"/>
      <c r="AX32" s="474"/>
      <c r="AY32" s="474"/>
      <c r="AZ32" s="474"/>
      <c r="BA32" s="474"/>
      <c r="BB32" s="474"/>
      <c r="BC32" s="474"/>
      <c r="BD32" s="474" t="s">
        <v>643</v>
      </c>
    </row>
    <row r="33" spans="1:56" ht="30" x14ac:dyDescent="0.25">
      <c r="A33" s="686" t="s">
        <v>192</v>
      </c>
      <c r="B33" s="651" t="s">
        <v>294</v>
      </c>
      <c r="C33" s="640" t="s">
        <v>193</v>
      </c>
      <c r="D33" s="664" t="s">
        <v>12</v>
      </c>
      <c r="E33" s="657"/>
      <c r="F33" s="658"/>
      <c r="G33" s="658"/>
      <c r="H33" s="659">
        <v>0.1</v>
      </c>
      <c r="I33" s="644">
        <f t="shared" si="0"/>
        <v>0.1</v>
      </c>
      <c r="J33" s="666"/>
      <c r="K33" s="667"/>
      <c r="L33" s="667"/>
      <c r="M33" s="667"/>
      <c r="N33" s="668">
        <f>I33</f>
        <v>0.1</v>
      </c>
      <c r="O33" s="665"/>
      <c r="P33" s="669">
        <f t="shared" si="8"/>
        <v>0.1</v>
      </c>
      <c r="Q33" s="650" t="str">
        <f t="shared" si="22"/>
        <v>Item</v>
      </c>
      <c r="S33" s="492"/>
      <c r="AL33" s="472" t="str">
        <f t="shared" si="5"/>
        <v>A1024</v>
      </c>
      <c r="AM33" s="472" t="str">
        <f t="shared" si="6"/>
        <v>Maintenance (including remedial earthworks, revegetation, weed and pest animal control)</v>
      </c>
      <c r="AN33" s="474"/>
      <c r="AO33" s="474"/>
      <c r="AP33" s="474"/>
      <c r="AQ33" s="474"/>
      <c r="AR33" s="474"/>
      <c r="AS33" s="474"/>
      <c r="AT33" s="474"/>
      <c r="AU33" s="474"/>
      <c r="AV33" s="474"/>
      <c r="AW33" s="474"/>
      <c r="AX33" s="474"/>
      <c r="AY33" s="474"/>
      <c r="AZ33" s="474"/>
      <c r="BA33" s="474"/>
      <c r="BB33" s="474"/>
      <c r="BC33" s="474"/>
      <c r="BD33" s="474" t="s">
        <v>643</v>
      </c>
    </row>
    <row r="34" spans="1:56" ht="18.75" x14ac:dyDescent="0.25">
      <c r="A34" s="686" t="s">
        <v>195</v>
      </c>
      <c r="B34" s="651" t="s">
        <v>295</v>
      </c>
      <c r="C34" s="640" t="s">
        <v>196</v>
      </c>
      <c r="D34" s="664" t="s">
        <v>12</v>
      </c>
      <c r="E34" s="657"/>
      <c r="F34" s="658"/>
      <c r="G34" s="658"/>
      <c r="H34" s="659">
        <v>7.4999999999999997E-2</v>
      </c>
      <c r="I34" s="644">
        <f t="shared" si="0"/>
        <v>7.4999999999999997E-2</v>
      </c>
      <c r="J34" s="666"/>
      <c r="K34" s="667"/>
      <c r="L34" s="667"/>
      <c r="M34" s="667"/>
      <c r="N34" s="668">
        <f>I34</f>
        <v>7.4999999999999997E-2</v>
      </c>
      <c r="O34" s="665"/>
      <c r="P34" s="669">
        <f t="shared" si="8"/>
        <v>7.4999999999999997E-2</v>
      </c>
      <c r="Q34" s="650" t="str">
        <f t="shared" si="22"/>
        <v>Item</v>
      </c>
      <c r="S34" s="492"/>
      <c r="AL34" s="472" t="str">
        <f t="shared" si="5"/>
        <v>A1025</v>
      </c>
      <c r="AM34" s="472" t="str">
        <f t="shared" si="6"/>
        <v>Government management costs</v>
      </c>
      <c r="AN34" s="474"/>
      <c r="AO34" s="474"/>
      <c r="AP34" s="474"/>
      <c r="AQ34" s="474"/>
      <c r="AR34" s="474"/>
      <c r="AS34" s="474"/>
      <c r="AT34" s="474"/>
      <c r="AU34" s="474"/>
      <c r="AV34" s="474"/>
      <c r="AW34" s="474"/>
      <c r="AX34" s="474"/>
      <c r="AY34" s="474"/>
      <c r="AZ34" s="474"/>
      <c r="BA34" s="474"/>
      <c r="BB34" s="474"/>
      <c r="BC34" s="474"/>
      <c r="BD34" s="474" t="s">
        <v>643</v>
      </c>
    </row>
    <row r="35" spans="1:56" ht="18.75" x14ac:dyDescent="0.25">
      <c r="A35" s="686" t="s">
        <v>197</v>
      </c>
      <c r="B35" s="651" t="s">
        <v>295</v>
      </c>
      <c r="C35" s="640" t="s">
        <v>680</v>
      </c>
      <c r="D35" s="664" t="s">
        <v>12</v>
      </c>
      <c r="E35" s="657"/>
      <c r="F35" s="658"/>
      <c r="G35" s="658"/>
      <c r="H35" s="659">
        <v>0.125</v>
      </c>
      <c r="I35" s="644">
        <f t="shared" si="0"/>
        <v>0.125</v>
      </c>
      <c r="J35" s="666"/>
      <c r="K35" s="667"/>
      <c r="L35" s="667"/>
      <c r="M35" s="667"/>
      <c r="N35" s="668">
        <f>I35</f>
        <v>0.125</v>
      </c>
      <c r="O35" s="665"/>
      <c r="P35" s="669">
        <f t="shared" si="8"/>
        <v>0.125</v>
      </c>
      <c r="Q35" s="650" t="str">
        <f t="shared" si="22"/>
        <v>Item</v>
      </c>
      <c r="S35" s="492"/>
      <c r="AL35" s="472" t="str">
        <f t="shared" si="5"/>
        <v>A1026</v>
      </c>
      <c r="AM35" s="472" t="str">
        <f t="shared" si="6"/>
        <v>Third Party Rehabilitation Project Management</v>
      </c>
      <c r="AN35" s="474"/>
      <c r="AO35" s="474"/>
      <c r="AP35" s="474"/>
      <c r="AQ35" s="474"/>
      <c r="AR35" s="474"/>
      <c r="AS35" s="474"/>
      <c r="AT35" s="474"/>
      <c r="AU35" s="474"/>
      <c r="AV35" s="474"/>
      <c r="AW35" s="474"/>
      <c r="AX35" s="474"/>
      <c r="AY35" s="474"/>
      <c r="AZ35" s="474"/>
      <c r="BA35" s="474"/>
      <c r="BB35" s="474"/>
      <c r="BC35" s="474"/>
      <c r="BD35" s="474" t="s">
        <v>643</v>
      </c>
    </row>
    <row r="36" spans="1:56" ht="18.75" x14ac:dyDescent="0.25">
      <c r="A36" s="686" t="s">
        <v>198</v>
      </c>
      <c r="B36" s="651" t="s">
        <v>295</v>
      </c>
      <c r="C36" s="640" t="s">
        <v>199</v>
      </c>
      <c r="D36" s="664" t="s">
        <v>12</v>
      </c>
      <c r="E36" s="657"/>
      <c r="F36" s="658"/>
      <c r="G36" s="658"/>
      <c r="H36" s="659">
        <v>0.01</v>
      </c>
      <c r="I36" s="644">
        <f t="shared" si="0"/>
        <v>0.01</v>
      </c>
      <c r="J36" s="666"/>
      <c r="K36" s="667"/>
      <c r="L36" s="667"/>
      <c r="M36" s="667"/>
      <c r="N36" s="668">
        <f>I36</f>
        <v>0.01</v>
      </c>
      <c r="O36" s="665"/>
      <c r="P36" s="669">
        <f t="shared" si="8"/>
        <v>0.01</v>
      </c>
      <c r="Q36" s="650" t="str">
        <f t="shared" si="22"/>
        <v>Item</v>
      </c>
      <c r="S36" s="492"/>
      <c r="AL36" s="472" t="str">
        <f t="shared" si="5"/>
        <v>A1027</v>
      </c>
      <c r="AM36" s="472" t="str">
        <f t="shared" si="6"/>
        <v xml:space="preserve">Insurances </v>
      </c>
      <c r="AN36" s="474"/>
      <c r="AO36" s="474"/>
      <c r="AP36" s="474"/>
      <c r="AQ36" s="474"/>
      <c r="AR36" s="474"/>
      <c r="AS36" s="474"/>
      <c r="AT36" s="474"/>
      <c r="AU36" s="474"/>
      <c r="AV36" s="474"/>
      <c r="AW36" s="474"/>
      <c r="AX36" s="474"/>
      <c r="AY36" s="474"/>
      <c r="AZ36" s="474"/>
      <c r="BA36" s="474"/>
      <c r="BB36" s="474"/>
      <c r="BC36" s="474"/>
      <c r="BD36" s="474" t="s">
        <v>643</v>
      </c>
    </row>
    <row r="37" spans="1:56" ht="18.75" x14ac:dyDescent="0.25">
      <c r="A37" s="686" t="s">
        <v>200</v>
      </c>
      <c r="B37" s="651" t="s">
        <v>295</v>
      </c>
      <c r="C37" s="640" t="s">
        <v>201</v>
      </c>
      <c r="D37" s="664" t="s">
        <v>12</v>
      </c>
      <c r="E37" s="657"/>
      <c r="F37" s="658"/>
      <c r="G37" s="658"/>
      <c r="H37" s="831">
        <v>0.2</v>
      </c>
      <c r="I37" s="644">
        <f t="shared" si="0"/>
        <v>0.2</v>
      </c>
      <c r="J37" s="666"/>
      <c r="K37" s="667"/>
      <c r="L37" s="667"/>
      <c r="M37" s="667"/>
      <c r="N37" s="668">
        <f>I37</f>
        <v>0.2</v>
      </c>
      <c r="O37" s="665"/>
      <c r="P37" s="669">
        <f t="shared" si="8"/>
        <v>0.2</v>
      </c>
      <c r="Q37" s="650" t="str">
        <f t="shared" si="22"/>
        <v>Item</v>
      </c>
      <c r="S37" s="492"/>
      <c r="AL37" s="472" t="str">
        <f t="shared" si="5"/>
        <v>A1028</v>
      </c>
      <c r="AM37" s="472" t="str">
        <f t="shared" si="6"/>
        <v>Contingencies</v>
      </c>
      <c r="AN37" s="474"/>
      <c r="AO37" s="474"/>
      <c r="AP37" s="474"/>
      <c r="AQ37" s="474"/>
      <c r="AR37" s="474"/>
      <c r="AS37" s="474"/>
      <c r="AT37" s="474"/>
      <c r="AU37" s="474"/>
      <c r="AV37" s="474"/>
      <c r="AW37" s="474"/>
      <c r="AX37" s="474"/>
      <c r="AY37" s="474"/>
      <c r="AZ37" s="474"/>
      <c r="BA37" s="474"/>
      <c r="BB37" s="474"/>
      <c r="BC37" s="474"/>
      <c r="BD37" s="474" t="s">
        <v>643</v>
      </c>
    </row>
    <row r="38" spans="1:56" ht="75" x14ac:dyDescent="0.25">
      <c r="A38" s="686" t="s">
        <v>227</v>
      </c>
      <c r="B38" s="651" t="s">
        <v>291</v>
      </c>
      <c r="C38" s="640" t="s">
        <v>246</v>
      </c>
      <c r="D38" s="664" t="s">
        <v>12</v>
      </c>
      <c r="E38" s="657">
        <v>0</v>
      </c>
      <c r="F38" s="658">
        <v>0</v>
      </c>
      <c r="G38" s="658">
        <v>0</v>
      </c>
      <c r="H38" s="659">
        <v>27868.188604263243</v>
      </c>
      <c r="I38" s="644">
        <f t="shared" si="0"/>
        <v>27868.188604263243</v>
      </c>
      <c r="J38" s="645">
        <f t="shared" ref="J38:J44" si="24">E38*J$8*J$7</f>
        <v>0</v>
      </c>
      <c r="K38" s="646">
        <f t="shared" ref="K38:K44" si="25">F38*K$8*K$7</f>
        <v>0</v>
      </c>
      <c r="L38" s="646">
        <f t="shared" ref="L38:L44" si="26">G38*L$8*L$7</f>
        <v>0</v>
      </c>
      <c r="M38" s="646">
        <f t="shared" ref="M38:M44" si="27">H38*M$8*M$7</f>
        <v>27868.188604263243</v>
      </c>
      <c r="N38" s="647">
        <f t="shared" ref="N38:N44" si="28">SUM(J38:M38)</f>
        <v>27868.188604263243</v>
      </c>
      <c r="O38" s="648">
        <f t="shared" ref="O38:O97" si="29">$O$8</f>
        <v>0.1</v>
      </c>
      <c r="P38" s="649">
        <f t="shared" ref="P38:P44" si="30">N38+(N38*O38)</f>
        <v>30655.007464689566</v>
      </c>
      <c r="Q38" s="650" t="str">
        <f t="shared" si="22"/>
        <v>Item</v>
      </c>
      <c r="S38" s="492" t="s">
        <v>247</v>
      </c>
      <c r="AL38" s="472" t="str">
        <f t="shared" si="5"/>
        <v>A1029</v>
      </c>
      <c r="AM38" s="472" t="str">
        <f t="shared" si="6"/>
        <v>Clean Process Facility of all materials and waste and Decontaminate ready for Demolition</v>
      </c>
      <c r="AN38" s="474"/>
      <c r="AO38" s="474"/>
      <c r="AP38" s="474"/>
      <c r="AQ38" s="474"/>
      <c r="AR38" s="474" t="s">
        <v>643</v>
      </c>
      <c r="AS38" s="474"/>
      <c r="AT38" s="474"/>
      <c r="AU38" s="474"/>
      <c r="AV38" s="474"/>
      <c r="AW38" s="474" t="s">
        <v>643</v>
      </c>
      <c r="AX38" s="474" t="s">
        <v>643</v>
      </c>
      <c r="AY38" s="474"/>
      <c r="AZ38" s="474"/>
      <c r="BA38" s="474"/>
      <c r="BB38" s="474"/>
      <c r="BC38" s="474"/>
      <c r="BD38" s="474"/>
    </row>
    <row r="39" spans="1:56" ht="60" x14ac:dyDescent="0.25">
      <c r="A39" s="686" t="s">
        <v>228</v>
      </c>
      <c r="B39" s="651" t="s">
        <v>291</v>
      </c>
      <c r="C39" s="640" t="s">
        <v>829</v>
      </c>
      <c r="D39" s="664" t="s">
        <v>12</v>
      </c>
      <c r="E39" s="657">
        <v>0</v>
      </c>
      <c r="F39" s="658">
        <v>0</v>
      </c>
      <c r="G39" s="658">
        <v>0</v>
      </c>
      <c r="H39" s="659">
        <v>3344.1826325115894</v>
      </c>
      <c r="I39" s="644">
        <f t="shared" si="0"/>
        <v>3344.1826325115894</v>
      </c>
      <c r="J39" s="645">
        <f t="shared" si="24"/>
        <v>0</v>
      </c>
      <c r="K39" s="646">
        <f t="shared" si="25"/>
        <v>0</v>
      </c>
      <c r="L39" s="646">
        <f t="shared" si="26"/>
        <v>0</v>
      </c>
      <c r="M39" s="646">
        <f t="shared" si="27"/>
        <v>3344.1826325115894</v>
      </c>
      <c r="N39" s="647">
        <f t="shared" si="28"/>
        <v>3344.1826325115894</v>
      </c>
      <c r="O39" s="648">
        <f t="shared" si="29"/>
        <v>0.1</v>
      </c>
      <c r="P39" s="649">
        <f t="shared" si="30"/>
        <v>3678.6008957627482</v>
      </c>
      <c r="Q39" s="650" t="str">
        <f t="shared" si="22"/>
        <v>Item</v>
      </c>
      <c r="S39" s="492" t="s">
        <v>757</v>
      </c>
      <c r="AL39" s="472" t="str">
        <f t="shared" si="5"/>
        <v>A1030</v>
      </c>
      <c r="AM39" s="472" t="str">
        <f t="shared" si="6"/>
        <v>Disconnection of Services to Area</v>
      </c>
      <c r="AN39" s="474" t="s">
        <v>643</v>
      </c>
      <c r="AO39" s="474" t="s">
        <v>643</v>
      </c>
      <c r="AP39" s="474"/>
      <c r="AQ39" s="474"/>
      <c r="AR39" s="474" t="s">
        <v>643</v>
      </c>
      <c r="AS39" s="474"/>
      <c r="AT39" s="474"/>
      <c r="AU39" s="474"/>
      <c r="AV39" s="474"/>
      <c r="AW39" s="474" t="s">
        <v>643</v>
      </c>
      <c r="AX39" s="474" t="s">
        <v>643</v>
      </c>
      <c r="AY39" s="474" t="s">
        <v>643</v>
      </c>
      <c r="AZ39" s="474"/>
      <c r="BA39" s="474" t="s">
        <v>643</v>
      </c>
      <c r="BB39" s="474" t="s">
        <v>643</v>
      </c>
      <c r="BC39" s="474"/>
      <c r="BD39" s="474"/>
    </row>
    <row r="40" spans="1:56" ht="60" x14ac:dyDescent="0.25">
      <c r="A40" s="686" t="s">
        <v>229</v>
      </c>
      <c r="B40" s="651" t="s">
        <v>275</v>
      </c>
      <c r="C40" s="640" t="s">
        <v>845</v>
      </c>
      <c r="D40" s="664" t="s">
        <v>236</v>
      </c>
      <c r="E40" s="657">
        <v>203.93242703945813</v>
      </c>
      <c r="F40" s="658">
        <v>0</v>
      </c>
      <c r="G40" s="658">
        <v>143.23630952380952</v>
      </c>
      <c r="H40" s="659">
        <v>0</v>
      </c>
      <c r="I40" s="644">
        <f t="shared" si="0"/>
        <v>347.16873656326766</v>
      </c>
      <c r="J40" s="645">
        <f t="shared" si="24"/>
        <v>203.93242703945813</v>
      </c>
      <c r="K40" s="646">
        <f t="shared" si="25"/>
        <v>0</v>
      </c>
      <c r="L40" s="646">
        <f t="shared" si="26"/>
        <v>143.23630952380952</v>
      </c>
      <c r="M40" s="646">
        <f t="shared" si="27"/>
        <v>0</v>
      </c>
      <c r="N40" s="647">
        <f t="shared" si="28"/>
        <v>347.16873656326766</v>
      </c>
      <c r="O40" s="648">
        <f t="shared" si="29"/>
        <v>0.1</v>
      </c>
      <c r="P40" s="649">
        <f t="shared" si="30"/>
        <v>381.88561021959441</v>
      </c>
      <c r="Q40" s="650" t="str">
        <f t="shared" si="22"/>
        <v>m2</v>
      </c>
      <c r="S40" s="492" t="s">
        <v>238</v>
      </c>
      <c r="AL40" s="472" t="str">
        <f t="shared" si="5"/>
        <v>A1031</v>
      </c>
      <c r="AM40" s="472" t="str">
        <f t="shared" si="6"/>
        <v>Demolition of process plant including superstructure and removal to designated onsite dump sitesite (Add all levels of structure in total area).</v>
      </c>
      <c r="AN40" s="474"/>
      <c r="AO40" s="474"/>
      <c r="AP40" s="474"/>
      <c r="AQ40" s="474"/>
      <c r="AR40" s="474" t="s">
        <v>643</v>
      </c>
      <c r="AS40" s="474"/>
      <c r="AT40" s="474"/>
      <c r="AU40" s="474"/>
      <c r="AV40" s="474"/>
      <c r="AW40" s="474"/>
      <c r="AX40" s="474"/>
      <c r="AY40" s="474"/>
      <c r="AZ40" s="474"/>
      <c r="BA40" s="474"/>
      <c r="BB40" s="474"/>
      <c r="BC40" s="474"/>
      <c r="BD40" s="474"/>
    </row>
    <row r="41" spans="1:56" ht="75" x14ac:dyDescent="0.25">
      <c r="A41" s="686" t="s">
        <v>230</v>
      </c>
      <c r="B41" s="651" t="s">
        <v>275</v>
      </c>
      <c r="C41" s="640" t="s">
        <v>681</v>
      </c>
      <c r="D41" s="664" t="s">
        <v>236</v>
      </c>
      <c r="E41" s="657">
        <v>208.96842530927773</v>
      </c>
      <c r="F41" s="658">
        <v>0</v>
      </c>
      <c r="G41" s="658">
        <v>281.09755639097745</v>
      </c>
      <c r="H41" s="659">
        <v>0</v>
      </c>
      <c r="I41" s="644">
        <f t="shared" si="0"/>
        <v>490.06598170025518</v>
      </c>
      <c r="J41" s="645">
        <f t="shared" si="24"/>
        <v>208.96842530927773</v>
      </c>
      <c r="K41" s="646">
        <f t="shared" si="25"/>
        <v>0</v>
      </c>
      <c r="L41" s="646">
        <f t="shared" si="26"/>
        <v>281.09755639097745</v>
      </c>
      <c r="M41" s="646">
        <f t="shared" si="27"/>
        <v>0</v>
      </c>
      <c r="N41" s="647">
        <f t="shared" si="28"/>
        <v>490.06598170025518</v>
      </c>
      <c r="O41" s="648">
        <f t="shared" si="29"/>
        <v>0.1</v>
      </c>
      <c r="P41" s="649">
        <f t="shared" si="30"/>
        <v>539.07257987028072</v>
      </c>
      <c r="Q41" s="650" t="str">
        <f t="shared" si="22"/>
        <v>m2</v>
      </c>
      <c r="S41" s="492" t="s">
        <v>758</v>
      </c>
      <c r="AL41" s="472" t="str">
        <f t="shared" si="5"/>
        <v>A1032</v>
      </c>
      <c r="AM41" s="472" t="str">
        <f t="shared" si="6"/>
        <v xml:space="preserve">Demolition of tanks (leach, flotation, thickners, etc) associated with the Production Process </v>
      </c>
      <c r="AN41" s="474"/>
      <c r="AO41" s="474"/>
      <c r="AP41" s="474"/>
      <c r="AQ41" s="474"/>
      <c r="AR41" s="474" t="s">
        <v>643</v>
      </c>
      <c r="AS41" s="474"/>
      <c r="AT41" s="474"/>
      <c r="AU41" s="474"/>
      <c r="AV41" s="474"/>
      <c r="AW41" s="474"/>
      <c r="AX41" s="474"/>
      <c r="AY41" s="474"/>
      <c r="AZ41" s="474"/>
      <c r="BA41" s="474"/>
      <c r="BB41" s="474"/>
      <c r="BC41" s="474"/>
      <c r="BD41" s="474"/>
    </row>
    <row r="42" spans="1:56" ht="60" x14ac:dyDescent="0.25">
      <c r="A42" s="686" t="s">
        <v>231</v>
      </c>
      <c r="B42" s="651" t="s">
        <v>275</v>
      </c>
      <c r="C42" s="640" t="s">
        <v>235</v>
      </c>
      <c r="D42" s="664" t="s">
        <v>26</v>
      </c>
      <c r="E42" s="657">
        <v>222.29087042705856</v>
      </c>
      <c r="F42" s="658">
        <v>0</v>
      </c>
      <c r="G42" s="658">
        <v>172.5759523809524</v>
      </c>
      <c r="H42" s="659">
        <v>0</v>
      </c>
      <c r="I42" s="644">
        <f t="shared" si="0"/>
        <v>394.86682280801097</v>
      </c>
      <c r="J42" s="645">
        <f t="shared" si="24"/>
        <v>222.29087042705856</v>
      </c>
      <c r="K42" s="646">
        <f t="shared" si="25"/>
        <v>0</v>
      </c>
      <c r="L42" s="646">
        <f t="shared" si="26"/>
        <v>172.5759523809524</v>
      </c>
      <c r="M42" s="646">
        <f t="shared" si="27"/>
        <v>0</v>
      </c>
      <c r="N42" s="647">
        <f t="shared" si="28"/>
        <v>394.86682280801097</v>
      </c>
      <c r="O42" s="648">
        <f t="shared" si="29"/>
        <v>0.1</v>
      </c>
      <c r="P42" s="649">
        <f t="shared" si="30"/>
        <v>434.35350508881208</v>
      </c>
      <c r="Q42" s="650" t="str">
        <f t="shared" si="22"/>
        <v>Lin m</v>
      </c>
      <c r="S42" s="492" t="s">
        <v>759</v>
      </c>
      <c r="AL42" s="472" t="str">
        <f t="shared" si="5"/>
        <v>A1033</v>
      </c>
      <c r="AM42" s="472" t="str">
        <f t="shared" si="6"/>
        <v xml:space="preserve">Demolition of Conveyors and Gantries - Demolish and remove to site dump </v>
      </c>
      <c r="AN42" s="474"/>
      <c r="AO42" s="474"/>
      <c r="AP42" s="474"/>
      <c r="AQ42" s="474"/>
      <c r="AR42" s="474" t="s">
        <v>643</v>
      </c>
      <c r="AS42" s="474"/>
      <c r="AT42" s="474"/>
      <c r="AU42" s="474"/>
      <c r="AV42" s="474"/>
      <c r="AW42" s="474"/>
      <c r="AX42" s="474"/>
      <c r="AY42" s="474"/>
      <c r="AZ42" s="474"/>
      <c r="BA42" s="474"/>
      <c r="BB42" s="474"/>
      <c r="BC42" s="474"/>
      <c r="BD42" s="474"/>
    </row>
    <row r="43" spans="1:56" ht="45" x14ac:dyDescent="0.25">
      <c r="A43" s="686" t="s">
        <v>232</v>
      </c>
      <c r="B43" s="651" t="s">
        <v>275</v>
      </c>
      <c r="C43" s="640" t="s">
        <v>504</v>
      </c>
      <c r="D43" s="664" t="s">
        <v>236</v>
      </c>
      <c r="E43" s="660">
        <v>164.32897878462796</v>
      </c>
      <c r="F43" s="659">
        <v>0</v>
      </c>
      <c r="G43" s="659">
        <v>131.96780952380954</v>
      </c>
      <c r="H43" s="659">
        <v>0</v>
      </c>
      <c r="I43" s="661">
        <f t="shared" si="0"/>
        <v>296.2967883084375</v>
      </c>
      <c r="J43" s="645">
        <f t="shared" si="24"/>
        <v>164.32897878462796</v>
      </c>
      <c r="K43" s="646">
        <f t="shared" si="25"/>
        <v>0</v>
      </c>
      <c r="L43" s="646">
        <f t="shared" si="26"/>
        <v>131.96780952380954</v>
      </c>
      <c r="M43" s="646">
        <f t="shared" si="27"/>
        <v>0</v>
      </c>
      <c r="N43" s="647">
        <f t="shared" si="28"/>
        <v>296.2967883084375</v>
      </c>
      <c r="O43" s="648">
        <f t="shared" si="29"/>
        <v>0.1</v>
      </c>
      <c r="P43" s="649">
        <f t="shared" si="30"/>
        <v>325.92646713928127</v>
      </c>
      <c r="Q43" s="650" t="str">
        <f t="shared" si="22"/>
        <v>m2</v>
      </c>
      <c r="S43" s="492" t="s">
        <v>526</v>
      </c>
      <c r="AL43" s="472" t="str">
        <f t="shared" si="5"/>
        <v>A1034</v>
      </c>
      <c r="AM43" s="472" t="str">
        <f t="shared" si="6"/>
        <v>Demolish heavy duty concrete structures, crusher and other equipment footings</v>
      </c>
      <c r="AN43" s="474" t="s">
        <v>643</v>
      </c>
      <c r="AO43" s="474"/>
      <c r="AP43" s="474"/>
      <c r="AQ43" s="474"/>
      <c r="AR43" s="474" t="s">
        <v>643</v>
      </c>
      <c r="AS43" s="474"/>
      <c r="AT43" s="474"/>
      <c r="AU43" s="474"/>
      <c r="AV43" s="474"/>
      <c r="AW43" s="474"/>
      <c r="AX43" s="474" t="s">
        <v>643</v>
      </c>
      <c r="AY43" s="474" t="s">
        <v>643</v>
      </c>
      <c r="AZ43" s="474"/>
      <c r="BA43" s="474"/>
      <c r="BB43" s="474"/>
      <c r="BC43" s="474"/>
      <c r="BD43" s="474"/>
    </row>
    <row r="44" spans="1:56" ht="90" x14ac:dyDescent="0.25">
      <c r="A44" s="686" t="s">
        <v>233</v>
      </c>
      <c r="B44" s="651" t="s">
        <v>275</v>
      </c>
      <c r="C44" s="640" t="s">
        <v>682</v>
      </c>
      <c r="D44" s="664" t="s">
        <v>683</v>
      </c>
      <c r="E44" s="657">
        <v>5.8550995427054904</v>
      </c>
      <c r="F44" s="658">
        <v>0</v>
      </c>
      <c r="G44" s="658">
        <v>6.0718563988095235</v>
      </c>
      <c r="H44" s="659">
        <v>0</v>
      </c>
      <c r="I44" s="644">
        <f t="shared" si="0"/>
        <v>11.926955941515015</v>
      </c>
      <c r="J44" s="645">
        <f t="shared" si="24"/>
        <v>5.8550995427054904</v>
      </c>
      <c r="K44" s="646">
        <f t="shared" si="25"/>
        <v>0</v>
      </c>
      <c r="L44" s="646">
        <f t="shared" si="26"/>
        <v>6.0718563988095235</v>
      </c>
      <c r="M44" s="646">
        <f t="shared" si="27"/>
        <v>0</v>
      </c>
      <c r="N44" s="647">
        <f t="shared" si="28"/>
        <v>11.926955941515015</v>
      </c>
      <c r="O44" s="648">
        <f t="shared" si="29"/>
        <v>0.1</v>
      </c>
      <c r="P44" s="649">
        <f t="shared" si="30"/>
        <v>13.119651535666517</v>
      </c>
      <c r="Q44" s="650" t="str">
        <f t="shared" si="22"/>
        <v>m</v>
      </c>
      <c r="S44" s="492" t="s">
        <v>760</v>
      </c>
      <c r="AL44" s="472" t="str">
        <f t="shared" si="5"/>
        <v>A1035</v>
      </c>
      <c r="AM44" s="472" t="str">
        <f t="shared" si="6"/>
        <v>Demolish and Removal of Pipework - Plastic (Borefields, tailing facilities, etc)</v>
      </c>
      <c r="AN44" s="474"/>
      <c r="AO44" s="474"/>
      <c r="AP44" s="474"/>
      <c r="AQ44" s="474"/>
      <c r="AR44" s="474" t="s">
        <v>643</v>
      </c>
      <c r="AS44" s="474" t="s">
        <v>643</v>
      </c>
      <c r="AT44" s="474" t="s">
        <v>643</v>
      </c>
      <c r="AU44" s="474"/>
      <c r="AV44" s="474"/>
      <c r="AW44" s="474"/>
      <c r="AX44" s="474" t="s">
        <v>643</v>
      </c>
      <c r="AY44" s="474" t="s">
        <v>643</v>
      </c>
      <c r="AZ44" s="474"/>
      <c r="BA44" s="474"/>
      <c r="BB44" s="474"/>
      <c r="BC44" s="474"/>
      <c r="BD44" s="474"/>
    </row>
    <row r="45" spans="1:56" ht="45" x14ac:dyDescent="0.25">
      <c r="A45" s="686" t="s">
        <v>234</v>
      </c>
      <c r="B45" s="651" t="s">
        <v>275</v>
      </c>
      <c r="C45" s="640" t="s">
        <v>239</v>
      </c>
      <c r="D45" s="652" t="s">
        <v>236</v>
      </c>
      <c r="E45" s="670">
        <v>0.30580140228945218</v>
      </c>
      <c r="F45" s="671">
        <v>0</v>
      </c>
      <c r="G45" s="671">
        <v>0.10880658482142858</v>
      </c>
      <c r="H45" s="671">
        <v>0</v>
      </c>
      <c r="I45" s="672">
        <f t="shared" si="0"/>
        <v>0.41460798711088076</v>
      </c>
      <c r="J45" s="645">
        <f t="shared" ref="J45:M49" si="31">E45*J$8*J$7</f>
        <v>0.30580140228945218</v>
      </c>
      <c r="K45" s="646">
        <f t="shared" si="31"/>
        <v>0</v>
      </c>
      <c r="L45" s="646">
        <f t="shared" si="31"/>
        <v>0.10880658482142858</v>
      </c>
      <c r="M45" s="646">
        <f t="shared" si="31"/>
        <v>0</v>
      </c>
      <c r="N45" s="647">
        <f>SUM(J45:M45)</f>
        <v>0.41460798711088076</v>
      </c>
      <c r="O45" s="648">
        <f t="shared" si="29"/>
        <v>0.1</v>
      </c>
      <c r="P45" s="649">
        <f>N45+(N45*O45)</f>
        <v>0.45606878582196886</v>
      </c>
      <c r="Q45" s="650" t="str">
        <f>D45</f>
        <v>m2</v>
      </c>
      <c r="S45" s="492" t="s">
        <v>761</v>
      </c>
      <c r="AL45" s="472" t="str">
        <f t="shared" si="5"/>
        <v>A1036</v>
      </c>
      <c r="AM45" s="472" t="str">
        <f t="shared" si="6"/>
        <v>Demolition and removal of Bitumen, spray seal and crushed rock roadbase</v>
      </c>
      <c r="AN45" s="474"/>
      <c r="AO45" s="474"/>
      <c r="AP45" s="474"/>
      <c r="AQ45" s="474"/>
      <c r="AR45" s="474" t="s">
        <v>643</v>
      </c>
      <c r="AS45" s="474"/>
      <c r="AT45" s="474"/>
      <c r="AU45" s="474"/>
      <c r="AV45" s="474"/>
      <c r="AW45" s="474" t="s">
        <v>643</v>
      </c>
      <c r="AX45" s="474" t="s">
        <v>643</v>
      </c>
      <c r="AY45" s="474"/>
      <c r="AZ45" s="474"/>
      <c r="BA45" s="474"/>
      <c r="BB45" s="474"/>
      <c r="BC45" s="474"/>
      <c r="BD45" s="474"/>
    </row>
    <row r="46" spans="1:56" ht="105" x14ac:dyDescent="0.25">
      <c r="A46" s="686" t="s">
        <v>241</v>
      </c>
      <c r="B46" s="651" t="s">
        <v>291</v>
      </c>
      <c r="C46" s="640" t="s">
        <v>243</v>
      </c>
      <c r="D46" s="664" t="s">
        <v>22</v>
      </c>
      <c r="E46" s="642">
        <v>0</v>
      </c>
      <c r="F46" s="643">
        <v>0</v>
      </c>
      <c r="G46" s="643">
        <v>0</v>
      </c>
      <c r="H46" s="643">
        <v>29568.1481091233</v>
      </c>
      <c r="I46" s="672">
        <f t="shared" si="0"/>
        <v>29568.1481091233</v>
      </c>
      <c r="J46" s="645">
        <f t="shared" si="31"/>
        <v>0</v>
      </c>
      <c r="K46" s="646">
        <f t="shared" si="31"/>
        <v>0</v>
      </c>
      <c r="L46" s="646">
        <f t="shared" si="31"/>
        <v>0</v>
      </c>
      <c r="M46" s="646">
        <f t="shared" si="31"/>
        <v>29568.1481091233</v>
      </c>
      <c r="N46" s="647">
        <f>SUM(J46:M46)</f>
        <v>29568.1481091233</v>
      </c>
      <c r="O46" s="648">
        <f t="shared" si="29"/>
        <v>0.1</v>
      </c>
      <c r="P46" s="649">
        <f>N46+(N46*O46)</f>
        <v>32524.962920035628</v>
      </c>
      <c r="Q46" s="650" t="str">
        <f>D46</f>
        <v>Ha</v>
      </c>
      <c r="S46" s="492" t="s">
        <v>762</v>
      </c>
      <c r="AL46" s="472" t="str">
        <f t="shared" si="5"/>
        <v>A1037</v>
      </c>
      <c r="AM46" s="472" t="str">
        <f t="shared" si="6"/>
        <v>Characteristics of soil and groundwater contamination (Environmental site assessment)</v>
      </c>
      <c r="AN46" s="474"/>
      <c r="AO46" s="474"/>
      <c r="AP46" s="474"/>
      <c r="AQ46" s="474"/>
      <c r="AR46" s="474" t="s">
        <v>643</v>
      </c>
      <c r="AS46" s="474" t="s">
        <v>643</v>
      </c>
      <c r="AT46" s="474" t="s">
        <v>643</v>
      </c>
      <c r="AU46" s="474"/>
      <c r="AV46" s="474"/>
      <c r="AW46" s="474"/>
      <c r="AX46" s="474"/>
      <c r="AY46" s="474"/>
      <c r="AZ46" s="474"/>
      <c r="BA46" s="474"/>
      <c r="BB46" s="474"/>
      <c r="BC46" s="474"/>
      <c r="BD46" s="474"/>
    </row>
    <row r="47" spans="1:56" ht="60" x14ac:dyDescent="0.25">
      <c r="A47" s="686" t="s">
        <v>242</v>
      </c>
      <c r="B47" s="651" t="s">
        <v>292</v>
      </c>
      <c r="C47" s="640" t="s">
        <v>684</v>
      </c>
      <c r="D47" s="664" t="s">
        <v>27</v>
      </c>
      <c r="E47" s="642">
        <v>2.3097450327064593</v>
      </c>
      <c r="F47" s="643">
        <v>0</v>
      </c>
      <c r="G47" s="643">
        <v>1.0880658482142858</v>
      </c>
      <c r="H47" s="643">
        <v>0</v>
      </c>
      <c r="I47" s="672">
        <f t="shared" si="0"/>
        <v>3.397810880920745</v>
      </c>
      <c r="J47" s="645">
        <f t="shared" si="31"/>
        <v>2.3097450327064593</v>
      </c>
      <c r="K47" s="646">
        <f t="shared" si="31"/>
        <v>0</v>
      </c>
      <c r="L47" s="646">
        <f t="shared" si="31"/>
        <v>1.0880658482142858</v>
      </c>
      <c r="M47" s="646">
        <f t="shared" si="31"/>
        <v>0</v>
      </c>
      <c r="N47" s="647">
        <f>SUM(J47:M47)</f>
        <v>3.397810880920745</v>
      </c>
      <c r="O47" s="648">
        <f t="shared" si="29"/>
        <v>0.1</v>
      </c>
      <c r="P47" s="649">
        <f>N47+(N47*O47)</f>
        <v>3.7375919690128194</v>
      </c>
      <c r="Q47" s="650" t="str">
        <f>D47</f>
        <v>m3</v>
      </c>
      <c r="S47" s="492" t="s">
        <v>846</v>
      </c>
      <c r="AL47" s="472" t="str">
        <f t="shared" si="5"/>
        <v>A1038</v>
      </c>
      <c r="AM47" s="472" t="str">
        <f t="shared" si="6"/>
        <v xml:space="preserve">Excavation of contaminated materials (earthen materials contaminated by metals, hydrocarbons, putrescible waste management etc) </v>
      </c>
      <c r="AN47" s="474"/>
      <c r="AO47" s="474"/>
      <c r="AP47" s="474"/>
      <c r="AQ47" s="474"/>
      <c r="AR47" s="474" t="s">
        <v>643</v>
      </c>
      <c r="AS47" s="474"/>
      <c r="AT47" s="474"/>
      <c r="AU47" s="474"/>
      <c r="AV47" s="474"/>
      <c r="AW47" s="474"/>
      <c r="AX47" s="474" t="s">
        <v>643</v>
      </c>
      <c r="AY47" s="474" t="s">
        <v>643</v>
      </c>
      <c r="AZ47" s="474"/>
      <c r="BA47" s="474"/>
      <c r="BB47" s="474"/>
      <c r="BC47" s="474"/>
      <c r="BD47" s="474"/>
    </row>
    <row r="48" spans="1:56" ht="60" x14ac:dyDescent="0.25">
      <c r="A48" s="686" t="s">
        <v>248</v>
      </c>
      <c r="B48" s="651" t="s">
        <v>275</v>
      </c>
      <c r="C48" s="640" t="s">
        <v>1171</v>
      </c>
      <c r="D48" s="673" t="s">
        <v>54</v>
      </c>
      <c r="E48" s="654">
        <v>7337.5135614998244</v>
      </c>
      <c r="F48" s="654">
        <v>0</v>
      </c>
      <c r="G48" s="654">
        <v>3316.0102040816328</v>
      </c>
      <c r="H48" s="654">
        <v>0</v>
      </c>
      <c r="I48" s="672">
        <f t="shared" si="0"/>
        <v>10653.523765581456</v>
      </c>
      <c r="J48" s="645">
        <f t="shared" si="31"/>
        <v>7337.5135614998244</v>
      </c>
      <c r="K48" s="646">
        <f t="shared" si="31"/>
        <v>0</v>
      </c>
      <c r="L48" s="646">
        <f t="shared" si="31"/>
        <v>3316.0102040816328</v>
      </c>
      <c r="M48" s="646">
        <f t="shared" si="31"/>
        <v>0</v>
      </c>
      <c r="N48" s="647">
        <f>SUM(J48:M48)</f>
        <v>10653.523765581456</v>
      </c>
      <c r="O48" s="648">
        <f t="shared" si="29"/>
        <v>0.1</v>
      </c>
      <c r="P48" s="649">
        <f>N48+(N48*O48)</f>
        <v>11718.876142139601</v>
      </c>
      <c r="Q48" s="650" t="str">
        <f>D48</f>
        <v>km</v>
      </c>
      <c r="S48" s="492" t="s">
        <v>763</v>
      </c>
      <c r="AL48" s="472" t="str">
        <f t="shared" si="5"/>
        <v>A1039</v>
      </c>
      <c r="AM48" s="472" t="str">
        <f t="shared" si="6"/>
        <v>Demolition of Haul and Access Roads 
(Based on 20m wide road including shoulders)</v>
      </c>
      <c r="AN48" s="474"/>
      <c r="AO48" s="474"/>
      <c r="AP48" s="474"/>
      <c r="AQ48" s="474"/>
      <c r="AR48" s="474"/>
      <c r="AS48" s="474"/>
      <c r="AT48" s="474"/>
      <c r="AU48" s="474"/>
      <c r="AV48" s="474" t="s">
        <v>643</v>
      </c>
      <c r="AW48" s="474" t="s">
        <v>643</v>
      </c>
      <c r="AX48" s="474"/>
      <c r="AY48" s="474"/>
      <c r="AZ48" s="474"/>
      <c r="BA48" s="474"/>
      <c r="BB48" s="474"/>
      <c r="BC48" s="474"/>
      <c r="BD48" s="474"/>
    </row>
    <row r="49" spans="1:56" ht="90" x14ac:dyDescent="0.25">
      <c r="A49" s="686" t="s">
        <v>251</v>
      </c>
      <c r="B49" s="651" t="s">
        <v>293</v>
      </c>
      <c r="C49" s="640" t="s">
        <v>685</v>
      </c>
      <c r="D49" s="673" t="s">
        <v>54</v>
      </c>
      <c r="E49" s="654">
        <v>395.11120850367945</v>
      </c>
      <c r="F49" s="654">
        <v>0</v>
      </c>
      <c r="G49" s="654">
        <v>348.18107142857144</v>
      </c>
      <c r="H49" s="654">
        <v>0</v>
      </c>
      <c r="I49" s="672">
        <f t="shared" si="0"/>
        <v>743.29227993225095</v>
      </c>
      <c r="J49" s="645">
        <f t="shared" si="31"/>
        <v>395.11120850367945</v>
      </c>
      <c r="K49" s="646">
        <f t="shared" si="31"/>
        <v>0</v>
      </c>
      <c r="L49" s="646">
        <f t="shared" si="31"/>
        <v>348.18107142857144</v>
      </c>
      <c r="M49" s="646">
        <f t="shared" si="31"/>
        <v>0</v>
      </c>
      <c r="N49" s="647">
        <f>SUM(J49:M49)</f>
        <v>743.29227993225095</v>
      </c>
      <c r="O49" s="648">
        <f t="shared" si="29"/>
        <v>0.1</v>
      </c>
      <c r="P49" s="649">
        <f>N49+(N49*O49)</f>
        <v>817.62150792547607</v>
      </c>
      <c r="Q49" s="650" t="str">
        <f>D49</f>
        <v>km</v>
      </c>
      <c r="S49" s="492" t="s">
        <v>764</v>
      </c>
      <c r="AL49" s="472" t="str">
        <f t="shared" si="5"/>
        <v>A1040</v>
      </c>
      <c r="AM49" s="472" t="str">
        <f t="shared" si="6"/>
        <v>Scarification and ripping of Haul and Access Roads</v>
      </c>
      <c r="AN49" s="474" t="s">
        <v>643</v>
      </c>
      <c r="AO49" s="474"/>
      <c r="AP49" s="474"/>
      <c r="AQ49" s="474"/>
      <c r="AR49" s="474"/>
      <c r="AS49" s="474"/>
      <c r="AT49" s="474"/>
      <c r="AU49" s="474" t="s">
        <v>643</v>
      </c>
      <c r="AV49" s="474" t="s">
        <v>643</v>
      </c>
      <c r="AW49" s="474" t="s">
        <v>643</v>
      </c>
      <c r="AX49" s="474" t="s">
        <v>643</v>
      </c>
      <c r="AY49" s="474" t="s">
        <v>643</v>
      </c>
      <c r="AZ49" s="474"/>
      <c r="BA49" s="474" t="s">
        <v>643</v>
      </c>
      <c r="BB49" s="474"/>
      <c r="BC49" s="474"/>
      <c r="BD49" s="474"/>
    </row>
    <row r="50" spans="1:56" ht="60" x14ac:dyDescent="0.25">
      <c r="A50" s="686" t="s">
        <v>252</v>
      </c>
      <c r="B50" s="651" t="s">
        <v>275</v>
      </c>
      <c r="C50" s="640" t="s">
        <v>253</v>
      </c>
      <c r="D50" s="674" t="s">
        <v>236</v>
      </c>
      <c r="E50" s="654">
        <v>35.206491264543395</v>
      </c>
      <c r="F50" s="654">
        <v>0</v>
      </c>
      <c r="G50" s="654">
        <v>22.02853273809524</v>
      </c>
      <c r="H50" s="654">
        <v>0</v>
      </c>
      <c r="I50" s="672">
        <f t="shared" si="0"/>
        <v>57.235024002638639</v>
      </c>
      <c r="J50" s="645">
        <f t="shared" ref="J50:J59" si="32">E50*J$8*J$7</f>
        <v>35.206491264543395</v>
      </c>
      <c r="K50" s="646">
        <f t="shared" ref="K50:K59" si="33">F50*K$8*K$7</f>
        <v>0</v>
      </c>
      <c r="L50" s="646">
        <f t="shared" ref="L50:L59" si="34">G50*L$8*L$7</f>
        <v>22.02853273809524</v>
      </c>
      <c r="M50" s="646">
        <f t="shared" ref="M50:M59" si="35">H50*M$8*M$7</f>
        <v>0</v>
      </c>
      <c r="N50" s="647">
        <f t="shared" ref="N50:N59" si="36">SUM(J50:M50)</f>
        <v>57.235024002638639</v>
      </c>
      <c r="O50" s="648">
        <f t="shared" si="29"/>
        <v>0.1</v>
      </c>
      <c r="P50" s="649">
        <f t="shared" ref="P50:P59" si="37">N50+(N50*O50)</f>
        <v>62.958526402902507</v>
      </c>
      <c r="Q50" s="650" t="str">
        <f t="shared" ref="Q50:Q59" si="38">D50</f>
        <v>m2</v>
      </c>
      <c r="S50" s="492" t="s">
        <v>903</v>
      </c>
      <c r="AL50" s="472" t="str">
        <f t="shared" si="5"/>
        <v>A1041</v>
      </c>
      <c r="AM50" s="472" t="str">
        <f t="shared" si="6"/>
        <v>Demolition of Industrial and Other buildings and remove waste to designated dump on site.</v>
      </c>
      <c r="AN50" s="474" t="s">
        <v>643</v>
      </c>
      <c r="AO50" s="474"/>
      <c r="AP50" s="474"/>
      <c r="AQ50" s="474"/>
      <c r="AR50" s="474" t="s">
        <v>643</v>
      </c>
      <c r="AS50" s="474"/>
      <c r="AT50" s="474"/>
      <c r="AU50" s="474" t="s">
        <v>643</v>
      </c>
      <c r="AV50" s="474"/>
      <c r="AW50" s="474" t="s">
        <v>643</v>
      </c>
      <c r="AX50" s="474" t="s">
        <v>643</v>
      </c>
      <c r="AY50" s="474" t="s">
        <v>643</v>
      </c>
      <c r="AZ50" s="474"/>
      <c r="BA50" s="474" t="s">
        <v>643</v>
      </c>
      <c r="BB50" s="474"/>
      <c r="BC50" s="474"/>
      <c r="BD50" s="474"/>
    </row>
    <row r="51" spans="1:56" ht="75" x14ac:dyDescent="0.25">
      <c r="A51" s="686" t="s">
        <v>274</v>
      </c>
      <c r="B51" s="651" t="s">
        <v>275</v>
      </c>
      <c r="C51" s="640" t="s">
        <v>276</v>
      </c>
      <c r="D51" s="674" t="s">
        <v>12</v>
      </c>
      <c r="E51" s="654">
        <v>0</v>
      </c>
      <c r="F51" s="654">
        <v>305.57105263157894</v>
      </c>
      <c r="G51" s="654">
        <v>0</v>
      </c>
      <c r="H51" s="654">
        <v>1330.5666649105488</v>
      </c>
      <c r="I51" s="672">
        <f t="shared" si="0"/>
        <v>1636.1377175421276</v>
      </c>
      <c r="J51" s="645">
        <f t="shared" si="32"/>
        <v>0</v>
      </c>
      <c r="K51" s="646">
        <f t="shared" si="33"/>
        <v>305.57105263157894</v>
      </c>
      <c r="L51" s="646">
        <f t="shared" si="34"/>
        <v>0</v>
      </c>
      <c r="M51" s="646">
        <f t="shared" si="35"/>
        <v>1330.5666649105488</v>
      </c>
      <c r="N51" s="647">
        <f t="shared" si="36"/>
        <v>1636.1377175421276</v>
      </c>
      <c r="O51" s="648">
        <f t="shared" si="29"/>
        <v>0.1</v>
      </c>
      <c r="P51" s="649">
        <f t="shared" si="37"/>
        <v>1799.7514892963404</v>
      </c>
      <c r="Q51" s="650" t="str">
        <f t="shared" si="38"/>
        <v>Item</v>
      </c>
      <c r="S51" s="492" t="s">
        <v>765</v>
      </c>
      <c r="AL51" s="472" t="str">
        <f t="shared" si="5"/>
        <v>A1042</v>
      </c>
      <c r="AM51" s="472" t="str">
        <f t="shared" si="6"/>
        <v>Disconnection and Termination of Main Electrical Power</v>
      </c>
      <c r="AN51" s="474"/>
      <c r="AO51" s="474"/>
      <c r="AP51" s="474"/>
      <c r="AQ51" s="474"/>
      <c r="AR51" s="474"/>
      <c r="AS51" s="474"/>
      <c r="AT51" s="474"/>
      <c r="AU51" s="474"/>
      <c r="AV51" s="474"/>
      <c r="AW51" s="474"/>
      <c r="AX51" s="474"/>
      <c r="AY51" s="474" t="s">
        <v>643</v>
      </c>
      <c r="AZ51" s="474"/>
      <c r="BA51" s="474" t="s">
        <v>643</v>
      </c>
      <c r="BB51" s="474"/>
      <c r="BC51" s="474"/>
      <c r="BD51" s="474"/>
    </row>
    <row r="52" spans="1:56" ht="90" x14ac:dyDescent="0.25">
      <c r="A52" s="686" t="s">
        <v>277</v>
      </c>
      <c r="B52" s="651" t="s">
        <v>275</v>
      </c>
      <c r="C52" s="640" t="s">
        <v>278</v>
      </c>
      <c r="D52" s="674" t="s">
        <v>236</v>
      </c>
      <c r="E52" s="654">
        <v>28.347830700964199</v>
      </c>
      <c r="F52" s="654">
        <v>0</v>
      </c>
      <c r="G52" s="654">
        <v>21.690997023809523</v>
      </c>
      <c r="H52" s="654">
        <v>0</v>
      </c>
      <c r="I52" s="672">
        <f t="shared" si="0"/>
        <v>50.038827724773725</v>
      </c>
      <c r="J52" s="645">
        <f t="shared" si="32"/>
        <v>28.347830700964199</v>
      </c>
      <c r="K52" s="646">
        <f t="shared" si="33"/>
        <v>0</v>
      </c>
      <c r="L52" s="646">
        <f t="shared" si="34"/>
        <v>21.690997023809523</v>
      </c>
      <c r="M52" s="646">
        <f t="shared" si="35"/>
        <v>0</v>
      </c>
      <c r="N52" s="647">
        <f t="shared" si="36"/>
        <v>50.038827724773725</v>
      </c>
      <c r="O52" s="648">
        <f t="shared" si="29"/>
        <v>0.1</v>
      </c>
      <c r="P52" s="649">
        <f t="shared" si="37"/>
        <v>55.0427104972511</v>
      </c>
      <c r="Q52" s="650" t="str">
        <f t="shared" si="38"/>
        <v>m2</v>
      </c>
      <c r="S52" s="492" t="s">
        <v>766</v>
      </c>
      <c r="AL52" s="472" t="str">
        <f t="shared" si="5"/>
        <v>A1043</v>
      </c>
      <c r="AM52" s="472" t="str">
        <f t="shared" si="6"/>
        <v>Substations and Transformers - Demolish and Remove</v>
      </c>
      <c r="AN52" s="474"/>
      <c r="AO52" s="474"/>
      <c r="AP52" s="474"/>
      <c r="AQ52" s="474"/>
      <c r="AR52" s="474"/>
      <c r="AS52" s="474"/>
      <c r="AT52" s="474"/>
      <c r="AU52" s="474"/>
      <c r="AV52" s="474"/>
      <c r="AW52" s="474"/>
      <c r="AX52" s="474"/>
      <c r="AY52" s="474" t="s">
        <v>643</v>
      </c>
      <c r="AZ52" s="474"/>
      <c r="BA52" s="474" t="s">
        <v>643</v>
      </c>
      <c r="BB52" s="474"/>
      <c r="BC52" s="474"/>
      <c r="BD52" s="474"/>
    </row>
    <row r="53" spans="1:56" ht="90" x14ac:dyDescent="0.25">
      <c r="A53" s="686" t="s">
        <v>279</v>
      </c>
      <c r="B53" s="651" t="s">
        <v>275</v>
      </c>
      <c r="C53" s="640" t="s">
        <v>280</v>
      </c>
      <c r="D53" s="673" t="s">
        <v>686</v>
      </c>
      <c r="E53" s="654">
        <v>11.906643823884032</v>
      </c>
      <c r="F53" s="654">
        <v>0</v>
      </c>
      <c r="G53" s="654">
        <v>17.924011904761905</v>
      </c>
      <c r="H53" s="654">
        <v>0</v>
      </c>
      <c r="I53" s="672">
        <f t="shared" si="0"/>
        <v>29.830655728645937</v>
      </c>
      <c r="J53" s="645">
        <f t="shared" si="32"/>
        <v>11.906643823884032</v>
      </c>
      <c r="K53" s="646">
        <f t="shared" si="33"/>
        <v>0</v>
      </c>
      <c r="L53" s="646">
        <f t="shared" si="34"/>
        <v>17.924011904761905</v>
      </c>
      <c r="M53" s="646">
        <f t="shared" si="35"/>
        <v>0</v>
      </c>
      <c r="N53" s="647">
        <f t="shared" si="36"/>
        <v>29.830655728645937</v>
      </c>
      <c r="O53" s="648">
        <f t="shared" si="29"/>
        <v>0.1</v>
      </c>
      <c r="P53" s="649">
        <f t="shared" si="37"/>
        <v>32.813721301510533</v>
      </c>
      <c r="Q53" s="650" t="str">
        <f t="shared" si="38"/>
        <v>lin m</v>
      </c>
      <c r="S53" s="492" t="s">
        <v>767</v>
      </c>
      <c r="AL53" s="472" t="str">
        <f t="shared" si="5"/>
        <v>A1044</v>
      </c>
      <c r="AM53" s="472" t="str">
        <f t="shared" si="6"/>
        <v xml:space="preserve">Removal of Underground Cables </v>
      </c>
      <c r="AN53" s="474"/>
      <c r="AO53" s="474"/>
      <c r="AP53" s="474"/>
      <c r="AQ53" s="474"/>
      <c r="AR53" s="474"/>
      <c r="AS53" s="474"/>
      <c r="AT53" s="474"/>
      <c r="AU53" s="474"/>
      <c r="AV53" s="474"/>
      <c r="AW53" s="474"/>
      <c r="AX53" s="474"/>
      <c r="AY53" s="474" t="s">
        <v>643</v>
      </c>
      <c r="AZ53" s="474"/>
      <c r="BA53" s="474" t="s">
        <v>643</v>
      </c>
      <c r="BB53" s="474"/>
      <c r="BC53" s="474"/>
      <c r="BD53" s="474"/>
    </row>
    <row r="54" spans="1:56" ht="60" x14ac:dyDescent="0.25">
      <c r="A54" s="686" t="s">
        <v>281</v>
      </c>
      <c r="B54" s="651" t="s">
        <v>275</v>
      </c>
      <c r="C54" s="640" t="s">
        <v>282</v>
      </c>
      <c r="D54" s="673" t="s">
        <v>686</v>
      </c>
      <c r="E54" s="654">
        <v>11.093854538021258</v>
      </c>
      <c r="F54" s="654">
        <v>0</v>
      </c>
      <c r="G54" s="654">
        <v>8.8976361607142849</v>
      </c>
      <c r="H54" s="654">
        <v>0</v>
      </c>
      <c r="I54" s="672">
        <f t="shared" si="0"/>
        <v>19.991490698735543</v>
      </c>
      <c r="J54" s="645">
        <f t="shared" si="32"/>
        <v>11.093854538021258</v>
      </c>
      <c r="K54" s="646">
        <f t="shared" si="33"/>
        <v>0</v>
      </c>
      <c r="L54" s="646">
        <f t="shared" si="34"/>
        <v>8.8976361607142849</v>
      </c>
      <c r="M54" s="646">
        <f t="shared" si="35"/>
        <v>0</v>
      </c>
      <c r="N54" s="647">
        <f t="shared" si="36"/>
        <v>19.991490698735543</v>
      </c>
      <c r="O54" s="648">
        <f t="shared" si="29"/>
        <v>0.1</v>
      </c>
      <c r="P54" s="649">
        <f t="shared" si="37"/>
        <v>21.990639768609096</v>
      </c>
      <c r="Q54" s="650" t="str">
        <f t="shared" si="38"/>
        <v>lin m</v>
      </c>
      <c r="S54" s="492" t="s">
        <v>888</v>
      </c>
      <c r="AL54" s="472" t="str">
        <f t="shared" si="5"/>
        <v>A1045</v>
      </c>
      <c r="AM54" s="472" t="str">
        <f t="shared" si="6"/>
        <v>Removal of Overhead Cables/wires including poles as required</v>
      </c>
      <c r="AN54" s="474"/>
      <c r="AO54" s="474"/>
      <c r="AP54" s="474"/>
      <c r="AQ54" s="474"/>
      <c r="AR54" s="474"/>
      <c r="AS54" s="474"/>
      <c r="AT54" s="474"/>
      <c r="AU54" s="474"/>
      <c r="AV54" s="474"/>
      <c r="AW54" s="474"/>
      <c r="AX54" s="474"/>
      <c r="AY54" s="474"/>
      <c r="AZ54" s="474"/>
      <c r="BA54" s="474" t="s">
        <v>643</v>
      </c>
      <c r="BB54" s="474"/>
      <c r="BC54" s="474"/>
      <c r="BD54" s="474"/>
    </row>
    <row r="55" spans="1:56" ht="60" x14ac:dyDescent="0.25">
      <c r="A55" s="686" t="s">
        <v>283</v>
      </c>
      <c r="B55" s="651" t="s">
        <v>275</v>
      </c>
      <c r="C55" s="640" t="s">
        <v>284</v>
      </c>
      <c r="D55" s="674" t="s">
        <v>236</v>
      </c>
      <c r="E55" s="654">
        <v>127.76653555344353</v>
      </c>
      <c r="F55" s="654">
        <v>0</v>
      </c>
      <c r="G55" s="654">
        <v>143.39498015873016</v>
      </c>
      <c r="H55" s="654">
        <v>0</v>
      </c>
      <c r="I55" s="672">
        <f t="shared" si="0"/>
        <v>271.1615157121737</v>
      </c>
      <c r="J55" s="645">
        <f t="shared" si="32"/>
        <v>127.76653555344353</v>
      </c>
      <c r="K55" s="646">
        <f t="shared" si="33"/>
        <v>0</v>
      </c>
      <c r="L55" s="646">
        <f t="shared" si="34"/>
        <v>143.39498015873016</v>
      </c>
      <c r="M55" s="646">
        <f t="shared" si="35"/>
        <v>0</v>
      </c>
      <c r="N55" s="647">
        <f t="shared" si="36"/>
        <v>271.1615157121737</v>
      </c>
      <c r="O55" s="648">
        <f t="shared" si="29"/>
        <v>0.1</v>
      </c>
      <c r="P55" s="649">
        <f t="shared" si="37"/>
        <v>298.27766728339105</v>
      </c>
      <c r="Q55" s="650" t="str">
        <f t="shared" si="38"/>
        <v>m2</v>
      </c>
      <c r="S55" s="492" t="s">
        <v>768</v>
      </c>
      <c r="AL55" s="472" t="str">
        <f t="shared" si="5"/>
        <v>A1046</v>
      </c>
      <c r="AM55" s="472" t="str">
        <f t="shared" si="6"/>
        <v>Demolition and Removal of Water Tanks (Metal or Concrete)</v>
      </c>
      <c r="AN55" s="474"/>
      <c r="AO55" s="474"/>
      <c r="AP55" s="474"/>
      <c r="AQ55" s="474"/>
      <c r="AR55" s="474" t="s">
        <v>643</v>
      </c>
      <c r="AS55" s="474"/>
      <c r="AT55" s="474"/>
      <c r="AU55" s="474"/>
      <c r="AV55" s="474"/>
      <c r="AW55" s="474"/>
      <c r="AX55" s="474"/>
      <c r="AY55" s="474" t="s">
        <v>643</v>
      </c>
      <c r="AZ55" s="474"/>
      <c r="BA55" s="474"/>
      <c r="BB55" s="474"/>
      <c r="BC55" s="474"/>
      <c r="BD55" s="474"/>
    </row>
    <row r="56" spans="1:56" ht="30" x14ac:dyDescent="0.25">
      <c r="A56" s="686" t="s">
        <v>285</v>
      </c>
      <c r="B56" s="651" t="s">
        <v>275</v>
      </c>
      <c r="C56" s="640" t="s">
        <v>286</v>
      </c>
      <c r="D56" s="673" t="s">
        <v>687</v>
      </c>
      <c r="E56" s="654">
        <v>4643.796715958144</v>
      </c>
      <c r="F56" s="654">
        <v>0</v>
      </c>
      <c r="G56" s="654">
        <v>2273.6677721088436</v>
      </c>
      <c r="H56" s="654">
        <v>0</v>
      </c>
      <c r="I56" s="672">
        <f t="shared" si="0"/>
        <v>6917.4644880669875</v>
      </c>
      <c r="J56" s="645">
        <f t="shared" si="32"/>
        <v>4643.796715958144</v>
      </c>
      <c r="K56" s="646">
        <f t="shared" si="33"/>
        <v>0</v>
      </c>
      <c r="L56" s="646">
        <f t="shared" si="34"/>
        <v>2273.6677721088436</v>
      </c>
      <c r="M56" s="646">
        <f t="shared" si="35"/>
        <v>0</v>
      </c>
      <c r="N56" s="647">
        <f t="shared" si="36"/>
        <v>6917.4644880669875</v>
      </c>
      <c r="O56" s="648">
        <f t="shared" si="29"/>
        <v>0.1</v>
      </c>
      <c r="P56" s="649">
        <f t="shared" si="37"/>
        <v>7609.2109368736865</v>
      </c>
      <c r="Q56" s="650" t="str">
        <f t="shared" si="38"/>
        <v>MLD</v>
      </c>
      <c r="S56" s="492" t="s">
        <v>769</v>
      </c>
      <c r="AL56" s="472" t="str">
        <f t="shared" si="5"/>
        <v>A1047</v>
      </c>
      <c r="AM56" s="472" t="str">
        <f t="shared" si="6"/>
        <v>Removal of Water Treatment Plant (Fresh and Waste Water Plants)</v>
      </c>
      <c r="AN56" s="474"/>
      <c r="AO56" s="474"/>
      <c r="AP56" s="474"/>
      <c r="AQ56" s="474"/>
      <c r="AR56" s="474"/>
      <c r="AS56" s="474"/>
      <c r="AT56" s="474"/>
      <c r="AU56" s="474"/>
      <c r="AV56" s="474"/>
      <c r="AW56" s="474" t="s">
        <v>643</v>
      </c>
      <c r="AX56" s="474"/>
      <c r="AY56" s="474" t="s">
        <v>643</v>
      </c>
      <c r="AZ56" s="474"/>
      <c r="BA56" s="474"/>
      <c r="BB56" s="474"/>
      <c r="BC56" s="474"/>
      <c r="BD56" s="474"/>
    </row>
    <row r="57" spans="1:56" ht="75" x14ac:dyDescent="0.25">
      <c r="A57" s="686" t="s">
        <v>287</v>
      </c>
      <c r="B57" s="662" t="s">
        <v>275</v>
      </c>
      <c r="C57" s="640" t="s">
        <v>558</v>
      </c>
      <c r="D57" s="673" t="s">
        <v>12</v>
      </c>
      <c r="E57" s="654">
        <v>364.27072963205239</v>
      </c>
      <c r="F57" s="654">
        <v>0</v>
      </c>
      <c r="G57" s="654">
        <v>530.45035714285723</v>
      </c>
      <c r="H57" s="654">
        <v>0</v>
      </c>
      <c r="I57" s="672">
        <f t="shared" si="0"/>
        <v>894.72108677490962</v>
      </c>
      <c r="J57" s="645">
        <f t="shared" si="32"/>
        <v>364.27072963205239</v>
      </c>
      <c r="K57" s="646">
        <f t="shared" si="33"/>
        <v>0</v>
      </c>
      <c r="L57" s="646">
        <f t="shared" si="34"/>
        <v>530.45035714285723</v>
      </c>
      <c r="M57" s="646">
        <f t="shared" si="35"/>
        <v>0</v>
      </c>
      <c r="N57" s="647">
        <f t="shared" si="36"/>
        <v>894.72108677490962</v>
      </c>
      <c r="O57" s="648">
        <f t="shared" si="29"/>
        <v>0.1</v>
      </c>
      <c r="P57" s="649">
        <f t="shared" si="37"/>
        <v>984.19319545240057</v>
      </c>
      <c r="Q57" s="650" t="str">
        <f t="shared" si="38"/>
        <v>Item</v>
      </c>
      <c r="S57" s="492" t="s">
        <v>770</v>
      </c>
      <c r="AL57" s="472" t="str">
        <f t="shared" si="5"/>
        <v>A1048</v>
      </c>
      <c r="AM57" s="472" t="str">
        <f t="shared" si="6"/>
        <v>Removal of submersible pumps (and/or Injection piping) from a bore</v>
      </c>
      <c r="AN57" s="474"/>
      <c r="AO57" s="474"/>
      <c r="AP57" s="474"/>
      <c r="AQ57" s="474"/>
      <c r="AR57" s="474"/>
      <c r="AS57" s="474"/>
      <c r="AT57" s="474"/>
      <c r="AU57" s="474"/>
      <c r="AV57" s="474"/>
      <c r="AW57" s="474"/>
      <c r="AX57" s="474"/>
      <c r="AY57" s="474" t="s">
        <v>643</v>
      </c>
      <c r="AZ57" s="474"/>
      <c r="BA57" s="474" t="s">
        <v>643</v>
      </c>
      <c r="BB57" s="474"/>
      <c r="BC57" s="474"/>
      <c r="BD57" s="474"/>
    </row>
    <row r="58" spans="1:56" ht="45" x14ac:dyDescent="0.25">
      <c r="A58" s="686" t="s">
        <v>288</v>
      </c>
      <c r="B58" s="662" t="s">
        <v>275</v>
      </c>
      <c r="C58" s="640" t="s">
        <v>428</v>
      </c>
      <c r="D58" s="673" t="s">
        <v>894</v>
      </c>
      <c r="E58" s="654">
        <v>5.5333443774173308</v>
      </c>
      <c r="F58" s="654">
        <v>7.7768445597981657</v>
      </c>
      <c r="G58" s="654">
        <v>4.8574851190476185</v>
      </c>
      <c r="H58" s="654">
        <v>0</v>
      </c>
      <c r="I58" s="672">
        <f t="shared" si="0"/>
        <v>18.167674056263117</v>
      </c>
      <c r="J58" s="645">
        <f t="shared" si="32"/>
        <v>5.5333443774173308</v>
      </c>
      <c r="K58" s="646">
        <f t="shared" si="33"/>
        <v>7.7768445597981657</v>
      </c>
      <c r="L58" s="646">
        <f t="shared" si="34"/>
        <v>4.8574851190476185</v>
      </c>
      <c r="M58" s="646">
        <f t="shared" si="35"/>
        <v>0</v>
      </c>
      <c r="N58" s="647">
        <f t="shared" si="36"/>
        <v>18.167674056263117</v>
      </c>
      <c r="O58" s="648">
        <f t="shared" si="29"/>
        <v>0.1</v>
      </c>
      <c r="P58" s="649">
        <f t="shared" si="37"/>
        <v>19.984441461889428</v>
      </c>
      <c r="Q58" s="650" t="str">
        <f t="shared" si="38"/>
        <v>No. of</v>
      </c>
      <c r="S58" s="492" t="s">
        <v>771</v>
      </c>
      <c r="AL58" s="472" t="str">
        <f t="shared" si="5"/>
        <v>A1049</v>
      </c>
      <c r="AM58" s="472" t="str">
        <f t="shared" si="6"/>
        <v>Sealing and Plugging of a Well or Bore using Grout or Concrete</v>
      </c>
      <c r="AN58" s="474"/>
      <c r="AO58" s="474"/>
      <c r="AP58" s="474"/>
      <c r="AQ58" s="474"/>
      <c r="AR58" s="474"/>
      <c r="AS58" s="474"/>
      <c r="AT58" s="474"/>
      <c r="AU58" s="474"/>
      <c r="AV58" s="474"/>
      <c r="AW58" s="474"/>
      <c r="AX58" s="474"/>
      <c r="AY58" s="474" t="s">
        <v>643</v>
      </c>
      <c r="AZ58" s="474"/>
      <c r="BA58" s="474"/>
      <c r="BB58" s="474"/>
      <c r="BC58" s="474"/>
      <c r="BD58" s="474"/>
    </row>
    <row r="59" spans="1:56" ht="75" x14ac:dyDescent="0.25">
      <c r="A59" s="686" t="s">
        <v>289</v>
      </c>
      <c r="B59" s="651" t="s">
        <v>275</v>
      </c>
      <c r="C59" s="640" t="s">
        <v>290</v>
      </c>
      <c r="D59" s="673" t="s">
        <v>12</v>
      </c>
      <c r="E59" s="654">
        <v>842.71176887435274</v>
      </c>
      <c r="F59" s="654">
        <v>0</v>
      </c>
      <c r="G59" s="654">
        <v>593.93303571428578</v>
      </c>
      <c r="H59" s="654">
        <v>0</v>
      </c>
      <c r="I59" s="672">
        <f t="shared" si="0"/>
        <v>1436.6448045886386</v>
      </c>
      <c r="J59" s="645">
        <f t="shared" si="32"/>
        <v>842.71176887435274</v>
      </c>
      <c r="K59" s="646">
        <f t="shared" si="33"/>
        <v>0</v>
      </c>
      <c r="L59" s="646">
        <f t="shared" si="34"/>
        <v>593.93303571428578</v>
      </c>
      <c r="M59" s="646">
        <f t="shared" si="35"/>
        <v>0</v>
      </c>
      <c r="N59" s="647">
        <f t="shared" si="36"/>
        <v>1436.6448045886386</v>
      </c>
      <c r="O59" s="648">
        <f t="shared" si="29"/>
        <v>0.1</v>
      </c>
      <c r="P59" s="649">
        <f t="shared" si="37"/>
        <v>1580.3092850475025</v>
      </c>
      <c r="Q59" s="650" t="str">
        <f t="shared" si="38"/>
        <v>Item</v>
      </c>
      <c r="S59" s="492" t="s">
        <v>772</v>
      </c>
      <c r="AL59" s="472" t="str">
        <f t="shared" si="5"/>
        <v>A1050</v>
      </c>
      <c r="AM59" s="472" t="str">
        <f t="shared" si="6"/>
        <v xml:space="preserve">Removal and demolition of Pump Station </v>
      </c>
      <c r="AN59" s="474"/>
      <c r="AO59" s="474"/>
      <c r="AP59" s="474"/>
      <c r="AQ59" s="474"/>
      <c r="AR59" s="474"/>
      <c r="AS59" s="474"/>
      <c r="AT59" s="474" t="s">
        <v>643</v>
      </c>
      <c r="AU59" s="474"/>
      <c r="AV59" s="474"/>
      <c r="AW59" s="474"/>
      <c r="AX59" s="474"/>
      <c r="AY59" s="474" t="s">
        <v>643</v>
      </c>
      <c r="AZ59" s="474"/>
      <c r="BA59" s="474"/>
      <c r="BB59" s="474"/>
      <c r="BC59" s="474"/>
      <c r="BD59" s="474"/>
    </row>
    <row r="60" spans="1:56" ht="60" x14ac:dyDescent="0.25">
      <c r="A60" s="686" t="s">
        <v>338</v>
      </c>
      <c r="B60" s="662" t="s">
        <v>339</v>
      </c>
      <c r="C60" s="640" t="s">
        <v>340</v>
      </c>
      <c r="D60" s="674" t="s">
        <v>236</v>
      </c>
      <c r="E60" s="654">
        <v>26.029714636140643</v>
      </c>
      <c r="F60" s="654">
        <v>76.5</v>
      </c>
      <c r="G60" s="654">
        <v>17.409053571428572</v>
      </c>
      <c r="H60" s="654">
        <v>0</v>
      </c>
      <c r="I60" s="672">
        <f t="shared" si="0"/>
        <v>119.93876820756921</v>
      </c>
      <c r="J60" s="645">
        <f t="shared" ref="J60:J82" si="39">E60*J$8*J$7</f>
        <v>26.029714636140643</v>
      </c>
      <c r="K60" s="646">
        <f t="shared" ref="K60:K82" si="40">F60*K$8*K$7</f>
        <v>76.5</v>
      </c>
      <c r="L60" s="646">
        <f t="shared" ref="L60:L82" si="41">G60*L$8*L$7</f>
        <v>17.409053571428572</v>
      </c>
      <c r="M60" s="646">
        <f t="shared" ref="M60:M82" si="42">H60*M$8*M$7</f>
        <v>0</v>
      </c>
      <c r="N60" s="647">
        <f t="shared" ref="N60:N82" si="43">SUM(J60:M60)</f>
        <v>119.93876820756921</v>
      </c>
      <c r="O60" s="648">
        <f t="shared" si="29"/>
        <v>0.1</v>
      </c>
      <c r="P60" s="649">
        <f t="shared" ref="P60:P93" si="44">N60+(N60*O60)</f>
        <v>131.93264502832614</v>
      </c>
      <c r="Q60" s="650" t="str">
        <f t="shared" ref="Q60:Q97" si="45">D60</f>
        <v>m2</v>
      </c>
      <c r="S60" s="492" t="s">
        <v>536</v>
      </c>
      <c r="AL60" s="472" t="str">
        <f t="shared" si="5"/>
        <v>A1051</v>
      </c>
      <c r="AM60" s="472" t="str">
        <f t="shared" si="6"/>
        <v>Construction of inflow and outflow/spillway structures for water storage facilities</v>
      </c>
      <c r="AN60" s="474"/>
      <c r="AO60" s="474"/>
      <c r="AP60" s="474"/>
      <c r="AQ60" s="474"/>
      <c r="AR60" s="474"/>
      <c r="AS60" s="474"/>
      <c r="AT60" s="474"/>
      <c r="AU60" s="474"/>
      <c r="AV60" s="474"/>
      <c r="AW60" s="474"/>
      <c r="AX60" s="474"/>
      <c r="AY60" s="474"/>
      <c r="AZ60" s="474" t="s">
        <v>643</v>
      </c>
      <c r="BA60" s="474"/>
      <c r="BB60" s="474"/>
      <c r="BC60" s="474"/>
      <c r="BD60" s="474"/>
    </row>
    <row r="61" spans="1:56" ht="45" x14ac:dyDescent="0.25">
      <c r="A61" s="686" t="s">
        <v>341</v>
      </c>
      <c r="B61" s="662" t="s">
        <v>339</v>
      </c>
      <c r="C61" s="640" t="s">
        <v>342</v>
      </c>
      <c r="D61" s="674" t="s">
        <v>27</v>
      </c>
      <c r="E61" s="654">
        <v>4.276200677490948</v>
      </c>
      <c r="F61" s="654">
        <v>0</v>
      </c>
      <c r="G61" s="654">
        <v>1.8652557397959186</v>
      </c>
      <c r="H61" s="654">
        <v>0</v>
      </c>
      <c r="I61" s="672">
        <f t="shared" si="0"/>
        <v>6.1414564172868662</v>
      </c>
      <c r="J61" s="645">
        <f t="shared" si="39"/>
        <v>4.276200677490948</v>
      </c>
      <c r="K61" s="646">
        <f t="shared" si="40"/>
        <v>0</v>
      </c>
      <c r="L61" s="646">
        <f t="shared" si="41"/>
        <v>1.8652557397959186</v>
      </c>
      <c r="M61" s="646">
        <f t="shared" si="42"/>
        <v>0</v>
      </c>
      <c r="N61" s="647">
        <f t="shared" si="43"/>
        <v>6.1414564172868662</v>
      </c>
      <c r="O61" s="648">
        <f t="shared" si="29"/>
        <v>0.1</v>
      </c>
      <c r="P61" s="649">
        <f t="shared" si="44"/>
        <v>6.755602059015553</v>
      </c>
      <c r="Q61" s="650" t="str">
        <f t="shared" si="45"/>
        <v>m3</v>
      </c>
      <c r="S61" s="492" t="s">
        <v>773</v>
      </c>
      <c r="AL61" s="472" t="str">
        <f t="shared" si="5"/>
        <v>A1052</v>
      </c>
      <c r="AM61" s="472" t="str">
        <f t="shared" si="6"/>
        <v>Removal of Sediments from Bottom of Dam</v>
      </c>
      <c r="AN61" s="474"/>
      <c r="AO61" s="474"/>
      <c r="AP61" s="474"/>
      <c r="AQ61" s="474"/>
      <c r="AR61" s="474"/>
      <c r="AS61" s="474"/>
      <c r="AT61" s="474"/>
      <c r="AU61" s="474"/>
      <c r="AV61" s="474"/>
      <c r="AW61" s="474"/>
      <c r="AX61" s="474"/>
      <c r="AY61" s="474"/>
      <c r="AZ61" s="474" t="s">
        <v>643</v>
      </c>
      <c r="BA61" s="474"/>
      <c r="BB61" s="474"/>
      <c r="BC61" s="474"/>
      <c r="BD61" s="474"/>
    </row>
    <row r="62" spans="1:56" ht="30" x14ac:dyDescent="0.25">
      <c r="A62" s="686" t="s">
        <v>343</v>
      </c>
      <c r="B62" s="662" t="s">
        <v>339</v>
      </c>
      <c r="C62" s="640" t="s">
        <v>344</v>
      </c>
      <c r="D62" s="673" t="s">
        <v>533</v>
      </c>
      <c r="E62" s="654">
        <v>115.33316666666667</v>
      </c>
      <c r="F62" s="654">
        <v>23.867863514719001</v>
      </c>
      <c r="G62" s="654">
        <v>0</v>
      </c>
      <c r="H62" s="654">
        <v>0</v>
      </c>
      <c r="I62" s="672">
        <f t="shared" si="0"/>
        <v>139.20103018138568</v>
      </c>
      <c r="J62" s="645">
        <f t="shared" si="39"/>
        <v>115.33316666666667</v>
      </c>
      <c r="K62" s="646">
        <f t="shared" si="40"/>
        <v>23.867863514719001</v>
      </c>
      <c r="L62" s="646">
        <f t="shared" si="41"/>
        <v>0</v>
      </c>
      <c r="M62" s="646">
        <f t="shared" si="42"/>
        <v>0</v>
      </c>
      <c r="N62" s="647">
        <f t="shared" si="43"/>
        <v>139.20103018138568</v>
      </c>
      <c r="O62" s="648">
        <f t="shared" si="29"/>
        <v>0.1</v>
      </c>
      <c r="P62" s="649">
        <f t="shared" si="44"/>
        <v>153.12113319952425</v>
      </c>
      <c r="Q62" s="650" t="str">
        <f t="shared" si="45"/>
        <v>ML</v>
      </c>
      <c r="S62" s="492" t="s">
        <v>774</v>
      </c>
      <c r="AL62" s="472" t="str">
        <f t="shared" si="5"/>
        <v>A1053</v>
      </c>
      <c r="AM62" s="472" t="str">
        <f t="shared" si="6"/>
        <v>Pumping of liquid from a Dam to waste storage or evaporation pond</v>
      </c>
      <c r="AN62" s="474"/>
      <c r="AO62" s="474"/>
      <c r="AP62" s="474"/>
      <c r="AQ62" s="474"/>
      <c r="AR62" s="474"/>
      <c r="AS62" s="474"/>
      <c r="AT62" s="474"/>
      <c r="AU62" s="474"/>
      <c r="AV62" s="474"/>
      <c r="AW62" s="474"/>
      <c r="AX62" s="474"/>
      <c r="AY62" s="474"/>
      <c r="AZ62" s="474" t="s">
        <v>643</v>
      </c>
      <c r="BA62" s="474"/>
      <c r="BB62" s="474"/>
      <c r="BC62" s="474"/>
      <c r="BD62" s="474"/>
    </row>
    <row r="63" spans="1:56" ht="75" x14ac:dyDescent="0.25">
      <c r="A63" s="686" t="s">
        <v>392</v>
      </c>
      <c r="B63" s="675" t="s">
        <v>275</v>
      </c>
      <c r="C63" s="640" t="s">
        <v>822</v>
      </c>
      <c r="D63" s="673" t="s">
        <v>688</v>
      </c>
      <c r="E63" s="654">
        <v>606.01310547833202</v>
      </c>
      <c r="F63" s="654">
        <v>0</v>
      </c>
      <c r="G63" s="654">
        <v>522.27160714285719</v>
      </c>
      <c r="H63" s="654">
        <v>0</v>
      </c>
      <c r="I63" s="672">
        <f t="shared" si="0"/>
        <v>1128.2847126211891</v>
      </c>
      <c r="J63" s="645">
        <f t="shared" si="39"/>
        <v>606.01310547833202</v>
      </c>
      <c r="K63" s="646">
        <f t="shared" si="40"/>
        <v>0</v>
      </c>
      <c r="L63" s="646">
        <f t="shared" si="41"/>
        <v>522.27160714285719</v>
      </c>
      <c r="M63" s="646">
        <f t="shared" si="42"/>
        <v>0</v>
      </c>
      <c r="N63" s="647">
        <f t="shared" si="43"/>
        <v>1128.2847126211891</v>
      </c>
      <c r="O63" s="648">
        <f t="shared" si="29"/>
        <v>0.1</v>
      </c>
      <c r="P63" s="649">
        <f t="shared" si="44"/>
        <v>1241.113183883308</v>
      </c>
      <c r="Q63" s="650" t="str">
        <f t="shared" si="45"/>
        <v>Items</v>
      </c>
      <c r="S63" s="492" t="s">
        <v>438</v>
      </c>
      <c r="AL63" s="472" t="str">
        <f t="shared" si="5"/>
        <v>A1054</v>
      </c>
      <c r="AM63" s="472" t="str">
        <f t="shared" si="6"/>
        <v>Removal of Transportable Buildings and/or Containers - Loading &amp; Transport Cost</v>
      </c>
      <c r="AN63" s="474" t="s">
        <v>643</v>
      </c>
      <c r="AO63" s="474"/>
      <c r="AP63" s="474"/>
      <c r="AQ63" s="474"/>
      <c r="AR63" s="474"/>
      <c r="AS63" s="474"/>
      <c r="AT63" s="474"/>
      <c r="AU63" s="474"/>
      <c r="AV63" s="474"/>
      <c r="AW63" s="474" t="s">
        <v>643</v>
      </c>
      <c r="AX63" s="474"/>
      <c r="AY63" s="474"/>
      <c r="AZ63" s="474"/>
      <c r="BA63" s="474"/>
      <c r="BB63" s="474"/>
      <c r="BC63" s="474"/>
      <c r="BD63" s="474"/>
    </row>
    <row r="64" spans="1:56" ht="45" x14ac:dyDescent="0.25">
      <c r="A64" s="686" t="s">
        <v>393</v>
      </c>
      <c r="B64" s="675" t="s">
        <v>76</v>
      </c>
      <c r="C64" s="640" t="s">
        <v>818</v>
      </c>
      <c r="D64" s="673" t="s">
        <v>819</v>
      </c>
      <c r="E64" s="654">
        <v>5.0501092123194331</v>
      </c>
      <c r="F64" s="654">
        <v>0</v>
      </c>
      <c r="G64" s="654">
        <v>4.352263392857143</v>
      </c>
      <c r="H64" s="654">
        <v>0</v>
      </c>
      <c r="I64" s="672">
        <f t="shared" si="0"/>
        <v>9.402372605176577</v>
      </c>
      <c r="J64" s="645">
        <f t="shared" si="39"/>
        <v>5.0501092123194331</v>
      </c>
      <c r="K64" s="646">
        <f t="shared" si="40"/>
        <v>0</v>
      </c>
      <c r="L64" s="646">
        <f t="shared" si="41"/>
        <v>4.352263392857143</v>
      </c>
      <c r="M64" s="646">
        <f t="shared" si="42"/>
        <v>0</v>
      </c>
      <c r="N64" s="647">
        <f t="shared" si="43"/>
        <v>9.402372605176577</v>
      </c>
      <c r="O64" s="648">
        <f t="shared" si="29"/>
        <v>0.1</v>
      </c>
      <c r="P64" s="649">
        <f t="shared" si="44"/>
        <v>10.342609865694234</v>
      </c>
      <c r="Q64" s="650" t="str">
        <f t="shared" si="45"/>
        <v>/km/Item</v>
      </c>
      <c r="S64" s="492" t="s">
        <v>820</v>
      </c>
      <c r="AL64" s="472" t="str">
        <f t="shared" si="5"/>
        <v>A1055</v>
      </c>
      <c r="AM64" s="472" t="str">
        <f t="shared" si="6"/>
        <v xml:space="preserve">Transport costs associated with Transportable buildings and containers </v>
      </c>
      <c r="AN64" s="474" t="s">
        <v>643</v>
      </c>
      <c r="AO64" s="474"/>
      <c r="AP64" s="474"/>
      <c r="AQ64" s="474"/>
      <c r="AR64" s="474"/>
      <c r="AS64" s="474"/>
      <c r="AT64" s="474"/>
      <c r="AU64" s="474"/>
      <c r="AV64" s="474"/>
      <c r="AW64" s="474" t="s">
        <v>643</v>
      </c>
      <c r="AX64" s="474"/>
      <c r="AY64" s="474"/>
      <c r="AZ64" s="474"/>
      <c r="BA64" s="474"/>
      <c r="BB64" s="474"/>
      <c r="BC64" s="474"/>
      <c r="BD64" s="474"/>
    </row>
    <row r="65" spans="1:56" ht="45" x14ac:dyDescent="0.25">
      <c r="A65" s="686" t="s">
        <v>395</v>
      </c>
      <c r="B65" s="675" t="s">
        <v>275</v>
      </c>
      <c r="C65" s="640" t="s">
        <v>855</v>
      </c>
      <c r="D65" s="674" t="s">
        <v>27</v>
      </c>
      <c r="E65" s="654">
        <v>3.9803990188062151</v>
      </c>
      <c r="F65" s="654">
        <v>63.660115967885815</v>
      </c>
      <c r="G65" s="654">
        <v>8.247988095238096</v>
      </c>
      <c r="H65" s="654">
        <v>0</v>
      </c>
      <c r="I65" s="672">
        <f t="shared" si="0"/>
        <v>75.888503081930125</v>
      </c>
      <c r="J65" s="645">
        <f t="shared" si="39"/>
        <v>3.9803990188062151</v>
      </c>
      <c r="K65" s="646">
        <f t="shared" si="40"/>
        <v>63.660115967885815</v>
      </c>
      <c r="L65" s="646">
        <f t="shared" si="41"/>
        <v>8.247988095238096</v>
      </c>
      <c r="M65" s="646">
        <f t="shared" si="42"/>
        <v>0</v>
      </c>
      <c r="N65" s="647">
        <f t="shared" si="43"/>
        <v>75.888503081930125</v>
      </c>
      <c r="O65" s="648">
        <f t="shared" si="29"/>
        <v>0.1</v>
      </c>
      <c r="P65" s="649">
        <f t="shared" si="44"/>
        <v>83.477353390123142</v>
      </c>
      <c r="Q65" s="650" t="str">
        <f t="shared" si="45"/>
        <v>m3</v>
      </c>
      <c r="S65" s="492" t="s">
        <v>775</v>
      </c>
      <c r="AL65" s="472" t="str">
        <f t="shared" si="5"/>
        <v>A1056</v>
      </c>
      <c r="AM65" s="472" t="str">
        <f t="shared" si="6"/>
        <v>Load and Remove Rubbish and/or waste from the site to an external dump</v>
      </c>
      <c r="AN65" s="474" t="s">
        <v>643</v>
      </c>
      <c r="AO65" s="474"/>
      <c r="AP65" s="474"/>
      <c r="AQ65" s="474"/>
      <c r="AR65" s="474"/>
      <c r="AS65" s="474"/>
      <c r="AT65" s="474"/>
      <c r="AU65" s="474" t="s">
        <v>643</v>
      </c>
      <c r="AV65" s="474"/>
      <c r="AW65" s="474" t="s">
        <v>643</v>
      </c>
      <c r="AX65" s="474" t="s">
        <v>643</v>
      </c>
      <c r="AY65" s="474"/>
      <c r="AZ65" s="474"/>
      <c r="BA65" s="474"/>
      <c r="BB65" s="474"/>
      <c r="BC65" s="474"/>
      <c r="BD65" s="474"/>
    </row>
    <row r="66" spans="1:56" ht="30" x14ac:dyDescent="0.25">
      <c r="A66" s="686" t="s">
        <v>396</v>
      </c>
      <c r="B66" s="675" t="s">
        <v>275</v>
      </c>
      <c r="C66" s="640" t="s">
        <v>1252</v>
      </c>
      <c r="D66" s="674" t="s">
        <v>700</v>
      </c>
      <c r="E66" s="654">
        <v>0</v>
      </c>
      <c r="F66" s="654">
        <v>0</v>
      </c>
      <c r="G66" s="654">
        <v>0</v>
      </c>
      <c r="H66" s="654">
        <v>8.265984865950383</v>
      </c>
      <c r="I66" s="672">
        <f t="shared" si="0"/>
        <v>8.265984865950383</v>
      </c>
      <c r="J66" s="645">
        <f t="shared" si="39"/>
        <v>0</v>
      </c>
      <c r="K66" s="646">
        <f t="shared" si="40"/>
        <v>0</v>
      </c>
      <c r="L66" s="646">
        <f t="shared" si="41"/>
        <v>0</v>
      </c>
      <c r="M66" s="646">
        <f t="shared" si="42"/>
        <v>8.265984865950383</v>
      </c>
      <c r="N66" s="647">
        <f t="shared" si="43"/>
        <v>8.265984865950383</v>
      </c>
      <c r="O66" s="648">
        <f t="shared" si="29"/>
        <v>0.1</v>
      </c>
      <c r="P66" s="649">
        <f t="shared" si="44"/>
        <v>9.0925833525454216</v>
      </c>
      <c r="Q66" s="650" t="str">
        <f t="shared" si="45"/>
        <v>$/m3</v>
      </c>
      <c r="S66" s="492" t="s">
        <v>1253</v>
      </c>
      <c r="AL66" s="472" t="str">
        <f t="shared" si="5"/>
        <v>A1057</v>
      </c>
      <c r="AM66" s="472" t="str">
        <f t="shared" si="6"/>
        <v>Semi Trailer Transport Costs</v>
      </c>
      <c r="AN66" s="474" t="s">
        <v>643</v>
      </c>
      <c r="AO66" s="474"/>
      <c r="AP66" s="474"/>
      <c r="AQ66" s="474"/>
      <c r="AR66" s="474"/>
      <c r="AS66" s="474"/>
      <c r="AT66" s="474"/>
      <c r="AU66" s="474" t="s">
        <v>643</v>
      </c>
      <c r="AV66" s="474"/>
      <c r="AW66" s="474" t="s">
        <v>643</v>
      </c>
      <c r="AX66" s="474" t="s">
        <v>643</v>
      </c>
      <c r="AY66" s="474"/>
      <c r="AZ66" s="474"/>
      <c r="BA66" s="474"/>
      <c r="BB66" s="474"/>
      <c r="BC66" s="474"/>
      <c r="BD66" s="474"/>
    </row>
    <row r="67" spans="1:56" ht="60" x14ac:dyDescent="0.25">
      <c r="A67" s="686" t="s">
        <v>398</v>
      </c>
      <c r="B67" s="662" t="s">
        <v>292</v>
      </c>
      <c r="C67" s="640" t="s">
        <v>689</v>
      </c>
      <c r="D67" s="674" t="s">
        <v>22</v>
      </c>
      <c r="E67" s="676">
        <v>463.85085854456258</v>
      </c>
      <c r="F67" s="676">
        <v>0</v>
      </c>
      <c r="G67" s="676">
        <v>290.15089285714288</v>
      </c>
      <c r="H67" s="677">
        <v>0</v>
      </c>
      <c r="I67" s="655">
        <f t="shared" si="0"/>
        <v>754.00175140170541</v>
      </c>
      <c r="J67" s="645">
        <f t="shared" si="39"/>
        <v>463.85085854456258</v>
      </c>
      <c r="K67" s="646">
        <f t="shared" si="40"/>
        <v>0</v>
      </c>
      <c r="L67" s="646">
        <f t="shared" si="41"/>
        <v>290.15089285714288</v>
      </c>
      <c r="M67" s="646">
        <f t="shared" si="42"/>
        <v>0</v>
      </c>
      <c r="N67" s="647">
        <f t="shared" si="43"/>
        <v>754.00175140170541</v>
      </c>
      <c r="O67" s="648">
        <f t="shared" si="29"/>
        <v>0.1</v>
      </c>
      <c r="P67" s="649">
        <f t="shared" si="44"/>
        <v>829.40192654187592</v>
      </c>
      <c r="Q67" s="650" t="str">
        <f t="shared" si="45"/>
        <v>Ha</v>
      </c>
      <c r="S67" s="492" t="s">
        <v>399</v>
      </c>
      <c r="AL67" s="472" t="str">
        <f t="shared" si="5"/>
        <v>A1058</v>
      </c>
      <c r="AM67" s="472" t="str">
        <f t="shared" si="6"/>
        <v>Deep Ripping of Hardstand area for Rehabilitation</v>
      </c>
      <c r="AN67" s="474" t="s">
        <v>643</v>
      </c>
      <c r="AO67" s="474"/>
      <c r="AP67" s="474"/>
      <c r="AQ67" s="474"/>
      <c r="AR67" s="474" t="s">
        <v>643</v>
      </c>
      <c r="AS67" s="474"/>
      <c r="AT67" s="474"/>
      <c r="AU67" s="474" t="s">
        <v>643</v>
      </c>
      <c r="AV67" s="474"/>
      <c r="AW67" s="474" t="s">
        <v>643</v>
      </c>
      <c r="AX67" s="474" t="s">
        <v>643</v>
      </c>
      <c r="AY67" s="474"/>
      <c r="AZ67" s="474"/>
      <c r="BA67" s="474"/>
      <c r="BB67" s="474"/>
      <c r="BC67" s="474"/>
      <c r="BD67" s="474"/>
    </row>
    <row r="68" spans="1:56" ht="60" x14ac:dyDescent="0.25">
      <c r="A68" s="686" t="s">
        <v>400</v>
      </c>
      <c r="B68" s="662" t="s">
        <v>292</v>
      </c>
      <c r="C68" s="640" t="s">
        <v>690</v>
      </c>
      <c r="D68" s="674" t="s">
        <v>236</v>
      </c>
      <c r="E68" s="654">
        <v>1.3668176251476336</v>
      </c>
      <c r="F68" s="654">
        <v>0</v>
      </c>
      <c r="G68" s="654">
        <v>0.64477976190476194</v>
      </c>
      <c r="H68" s="654">
        <v>0</v>
      </c>
      <c r="I68" s="655">
        <f t="shared" si="0"/>
        <v>2.0115973870523955</v>
      </c>
      <c r="J68" s="645">
        <f t="shared" si="39"/>
        <v>1.3668176251476336</v>
      </c>
      <c r="K68" s="646">
        <f t="shared" si="40"/>
        <v>0</v>
      </c>
      <c r="L68" s="646">
        <f t="shared" si="41"/>
        <v>0.64477976190476194</v>
      </c>
      <c r="M68" s="646">
        <f t="shared" si="42"/>
        <v>0</v>
      </c>
      <c r="N68" s="647">
        <f t="shared" si="43"/>
        <v>2.0115973870523955</v>
      </c>
      <c r="O68" s="648">
        <f t="shared" si="29"/>
        <v>0.1</v>
      </c>
      <c r="P68" s="649">
        <f t="shared" si="44"/>
        <v>2.2127571257576353</v>
      </c>
      <c r="Q68" s="650" t="str">
        <f t="shared" si="45"/>
        <v>m2</v>
      </c>
      <c r="S68" s="492" t="s">
        <v>943</v>
      </c>
      <c r="AL68" s="472" t="str">
        <f t="shared" si="5"/>
        <v>A1059</v>
      </c>
      <c r="AM68" s="472" t="str">
        <f t="shared" si="6"/>
        <v>Minor Earthworks to Rehabilitate Drill Pads and other such areas (Generally &lt;500 m2) including scarification of the reformed land area.</v>
      </c>
      <c r="AN68" s="474" t="s">
        <v>643</v>
      </c>
      <c r="AO68" s="474"/>
      <c r="AP68" s="474"/>
      <c r="AQ68" s="474"/>
      <c r="AR68" s="474"/>
      <c r="AS68" s="474"/>
      <c r="AT68" s="474"/>
      <c r="AU68" s="474"/>
      <c r="AV68" s="474"/>
      <c r="AW68" s="474"/>
      <c r="AX68" s="474"/>
      <c r="AY68" s="474"/>
      <c r="AZ68" s="474"/>
      <c r="BA68" s="474"/>
      <c r="BB68" s="474"/>
      <c r="BC68" s="474"/>
      <c r="BD68" s="474"/>
    </row>
    <row r="69" spans="1:56" ht="105" x14ac:dyDescent="0.25">
      <c r="A69" s="686" t="s">
        <v>401</v>
      </c>
      <c r="B69" s="675" t="s">
        <v>275</v>
      </c>
      <c r="C69" s="640" t="s">
        <v>691</v>
      </c>
      <c r="D69" s="674" t="s">
        <v>12</v>
      </c>
      <c r="E69" s="654">
        <v>24.172645473461639</v>
      </c>
      <c r="F69" s="654">
        <v>0</v>
      </c>
      <c r="G69" s="654">
        <v>62.475017006802716</v>
      </c>
      <c r="H69" s="654">
        <v>0</v>
      </c>
      <c r="I69" s="655">
        <f t="shared" si="0"/>
        <v>86.647662480264358</v>
      </c>
      <c r="J69" s="645">
        <f t="shared" si="39"/>
        <v>24.172645473461639</v>
      </c>
      <c r="K69" s="646">
        <f t="shared" si="40"/>
        <v>0</v>
      </c>
      <c r="L69" s="646">
        <f t="shared" si="41"/>
        <v>62.475017006802716</v>
      </c>
      <c r="M69" s="646">
        <f t="shared" si="42"/>
        <v>0</v>
      </c>
      <c r="N69" s="647">
        <f t="shared" si="43"/>
        <v>86.647662480264358</v>
      </c>
      <c r="O69" s="648">
        <f t="shared" si="29"/>
        <v>0.1</v>
      </c>
      <c r="P69" s="649">
        <f t="shared" si="44"/>
        <v>95.312428728290797</v>
      </c>
      <c r="Q69" s="650" t="str">
        <f t="shared" si="45"/>
        <v>Item</v>
      </c>
      <c r="S69" s="492" t="s">
        <v>776</v>
      </c>
      <c r="AL69" s="472" t="str">
        <f t="shared" si="5"/>
        <v>A1060</v>
      </c>
      <c r="AM69" s="472" t="str">
        <f t="shared" si="6"/>
        <v>Backfill, Cap and Seal Drill Holes  (Backfill hole with cuttings etc, cut off below ground level and seal the top of the hole before covering with soil and burying any remaining cuttings)</v>
      </c>
      <c r="AN69" s="474" t="s">
        <v>643</v>
      </c>
      <c r="AO69" s="474"/>
      <c r="AP69" s="474"/>
      <c r="AQ69" s="474"/>
      <c r="AR69" s="474"/>
      <c r="AS69" s="474"/>
      <c r="AT69" s="474"/>
      <c r="AU69" s="474"/>
      <c r="AV69" s="474"/>
      <c r="AW69" s="474"/>
      <c r="AX69" s="474"/>
      <c r="AY69" s="474"/>
      <c r="AZ69" s="474"/>
      <c r="BA69" s="474"/>
      <c r="BB69" s="474"/>
      <c r="BC69" s="474"/>
      <c r="BD69" s="474"/>
    </row>
    <row r="70" spans="1:56" ht="45" x14ac:dyDescent="0.25">
      <c r="A70" s="686" t="s">
        <v>402</v>
      </c>
      <c r="B70" s="675" t="s">
        <v>275</v>
      </c>
      <c r="C70" s="640" t="s">
        <v>482</v>
      </c>
      <c r="D70" s="674" t="s">
        <v>12</v>
      </c>
      <c r="E70" s="654">
        <v>210.5148066863245</v>
      </c>
      <c r="F70" s="654">
        <v>611.14210526315787</v>
      </c>
      <c r="G70" s="654">
        <v>611.41565476190476</v>
      </c>
      <c r="H70" s="654">
        <v>0</v>
      </c>
      <c r="I70" s="655">
        <f t="shared" si="0"/>
        <v>1433.072566711387</v>
      </c>
      <c r="J70" s="645">
        <f t="shared" si="39"/>
        <v>210.5148066863245</v>
      </c>
      <c r="K70" s="646">
        <f t="shared" si="40"/>
        <v>611.14210526315787</v>
      </c>
      <c r="L70" s="646">
        <f t="shared" si="41"/>
        <v>611.41565476190476</v>
      </c>
      <c r="M70" s="646">
        <f t="shared" si="42"/>
        <v>0</v>
      </c>
      <c r="N70" s="647">
        <f t="shared" si="43"/>
        <v>1433.072566711387</v>
      </c>
      <c r="O70" s="648">
        <f t="shared" si="29"/>
        <v>0.1</v>
      </c>
      <c r="P70" s="649">
        <f t="shared" si="44"/>
        <v>1576.3798233825257</v>
      </c>
      <c r="Q70" s="650" t="str">
        <f t="shared" si="45"/>
        <v>Item</v>
      </c>
      <c r="S70" s="492" t="s">
        <v>483</v>
      </c>
      <c r="AL70" s="472" t="str">
        <f t="shared" si="5"/>
        <v>A1061</v>
      </c>
      <c r="AM70" s="472" t="str">
        <f t="shared" si="6"/>
        <v>Grouting of Drill Holes and includes cutting off and sealing (For Drill holes that pass through aquifers)</v>
      </c>
      <c r="AN70" s="474" t="s">
        <v>643</v>
      </c>
      <c r="AO70" s="474"/>
      <c r="AP70" s="474"/>
      <c r="AQ70" s="474"/>
      <c r="AR70" s="474"/>
      <c r="AS70" s="474"/>
      <c r="AT70" s="474"/>
      <c r="AU70" s="474"/>
      <c r="AV70" s="474"/>
      <c r="AW70" s="474"/>
      <c r="AX70" s="474"/>
      <c r="AY70" s="474"/>
      <c r="AZ70" s="474"/>
      <c r="BA70" s="474"/>
      <c r="BB70" s="474"/>
      <c r="BC70" s="474"/>
      <c r="BD70" s="474"/>
    </row>
    <row r="71" spans="1:56" ht="60" x14ac:dyDescent="0.25">
      <c r="A71" s="686" t="s">
        <v>403</v>
      </c>
      <c r="B71" s="662" t="s">
        <v>292</v>
      </c>
      <c r="C71" s="640" t="s">
        <v>692</v>
      </c>
      <c r="D71" s="674" t="s">
        <v>27</v>
      </c>
      <c r="E71" s="654">
        <v>1.0893723630417009</v>
      </c>
      <c r="F71" s="654">
        <v>0</v>
      </c>
      <c r="G71" s="654">
        <v>1.4577503968253969</v>
      </c>
      <c r="H71" s="654">
        <v>0</v>
      </c>
      <c r="I71" s="655">
        <f t="shared" si="0"/>
        <v>2.547122759867098</v>
      </c>
      <c r="J71" s="645">
        <f t="shared" si="39"/>
        <v>1.0893723630417009</v>
      </c>
      <c r="K71" s="646">
        <f t="shared" si="40"/>
        <v>0</v>
      </c>
      <c r="L71" s="646">
        <f t="shared" si="41"/>
        <v>1.4577503968253969</v>
      </c>
      <c r="M71" s="646">
        <f t="shared" si="42"/>
        <v>0</v>
      </c>
      <c r="N71" s="647">
        <f t="shared" si="43"/>
        <v>2.547122759867098</v>
      </c>
      <c r="O71" s="648">
        <f t="shared" si="29"/>
        <v>0.1</v>
      </c>
      <c r="P71" s="649">
        <f t="shared" si="44"/>
        <v>2.801835035853808</v>
      </c>
      <c r="Q71" s="650" t="str">
        <f t="shared" si="45"/>
        <v>m3</v>
      </c>
      <c r="S71" s="492" t="s">
        <v>605</v>
      </c>
      <c r="AL71" s="472" t="str">
        <f t="shared" si="5"/>
        <v>A1062</v>
      </c>
      <c r="AM71" s="472" t="str">
        <f t="shared" si="6"/>
        <v xml:space="preserve">Sealing of Small Shafts and Adits </v>
      </c>
      <c r="AN71" s="474" t="s">
        <v>643</v>
      </c>
      <c r="AO71" s="474" t="s">
        <v>643</v>
      </c>
      <c r="AP71" s="474"/>
      <c r="AQ71" s="474"/>
      <c r="AR71" s="474"/>
      <c r="AS71" s="474"/>
      <c r="AT71" s="474"/>
      <c r="AU71" s="474"/>
      <c r="AV71" s="474"/>
      <c r="AW71" s="474"/>
      <c r="AX71" s="474"/>
      <c r="AY71" s="474"/>
      <c r="AZ71" s="474"/>
      <c r="BA71" s="474"/>
      <c r="BB71" s="474"/>
      <c r="BC71" s="474"/>
      <c r="BD71" s="474"/>
    </row>
    <row r="72" spans="1:56" ht="45" x14ac:dyDescent="0.25">
      <c r="A72" s="686" t="s">
        <v>404</v>
      </c>
      <c r="B72" s="662" t="s">
        <v>292</v>
      </c>
      <c r="C72" s="640" t="str">
        <f>[4]A1063!A$4</f>
        <v>Re-Instatement of Bulk Sample Pits where material needs to be transported from onsite location</v>
      </c>
      <c r="D72" s="674" t="s">
        <v>27</v>
      </c>
      <c r="E72" s="654">
        <v>1.1971527936767514</v>
      </c>
      <c r="F72" s="654">
        <v>0</v>
      </c>
      <c r="G72" s="654">
        <v>0.52754707792207789</v>
      </c>
      <c r="H72" s="654">
        <v>0</v>
      </c>
      <c r="I72" s="655">
        <f t="shared" si="0"/>
        <v>1.7246998715988293</v>
      </c>
      <c r="J72" s="645">
        <f t="shared" si="39"/>
        <v>1.1971527936767514</v>
      </c>
      <c r="K72" s="646">
        <f t="shared" si="40"/>
        <v>0</v>
      </c>
      <c r="L72" s="646">
        <f t="shared" si="41"/>
        <v>0.52754707792207789</v>
      </c>
      <c r="M72" s="646">
        <f t="shared" si="42"/>
        <v>0</v>
      </c>
      <c r="N72" s="647">
        <f t="shared" si="43"/>
        <v>1.7246998715988293</v>
      </c>
      <c r="O72" s="648">
        <f t="shared" si="29"/>
        <v>0.1</v>
      </c>
      <c r="P72" s="649">
        <f t="shared" si="44"/>
        <v>1.8971698587587122</v>
      </c>
      <c r="Q72" s="650" t="str">
        <f t="shared" si="45"/>
        <v>m3</v>
      </c>
      <c r="S72" s="492" t="s">
        <v>777</v>
      </c>
      <c r="AL72" s="472" t="str">
        <f t="shared" si="5"/>
        <v>A1063</v>
      </c>
      <c r="AM72" s="472" t="str">
        <f t="shared" si="6"/>
        <v>Re-Instatement of Bulk Sample Pits where material needs to be transported from onsite location</v>
      </c>
      <c r="AN72" s="474" t="s">
        <v>643</v>
      </c>
      <c r="AO72" s="474"/>
      <c r="AP72" s="474"/>
      <c r="AQ72" s="474"/>
      <c r="AR72" s="474"/>
      <c r="AS72" s="474"/>
      <c r="AT72" s="474"/>
      <c r="AU72" s="474"/>
      <c r="AV72" s="474"/>
      <c r="AW72" s="474"/>
      <c r="AX72" s="474"/>
      <c r="AY72" s="474"/>
      <c r="AZ72" s="474"/>
      <c r="BA72" s="474"/>
      <c r="BB72" s="474"/>
      <c r="BC72" s="474"/>
      <c r="BD72" s="474"/>
    </row>
    <row r="73" spans="1:56" ht="90" x14ac:dyDescent="0.25">
      <c r="A73" s="686" t="s">
        <v>405</v>
      </c>
      <c r="B73" s="662" t="s">
        <v>275</v>
      </c>
      <c r="C73" s="640" t="s">
        <v>406</v>
      </c>
      <c r="D73" s="674" t="s">
        <v>12</v>
      </c>
      <c r="E73" s="654">
        <v>0</v>
      </c>
      <c r="F73" s="654">
        <v>0</v>
      </c>
      <c r="G73" s="654">
        <v>0</v>
      </c>
      <c r="H73" s="654">
        <v>2193.8370382990938</v>
      </c>
      <c r="I73" s="655">
        <f t="shared" si="0"/>
        <v>2193.8370382990938</v>
      </c>
      <c r="J73" s="645">
        <f t="shared" si="39"/>
        <v>0</v>
      </c>
      <c r="K73" s="646">
        <f t="shared" si="40"/>
        <v>0</v>
      </c>
      <c r="L73" s="646">
        <f t="shared" si="41"/>
        <v>0</v>
      </c>
      <c r="M73" s="646">
        <f t="shared" si="42"/>
        <v>2193.8370382990938</v>
      </c>
      <c r="N73" s="647">
        <f t="shared" si="43"/>
        <v>2193.8370382990938</v>
      </c>
      <c r="O73" s="648">
        <f t="shared" si="29"/>
        <v>0.1</v>
      </c>
      <c r="P73" s="649">
        <f t="shared" si="44"/>
        <v>2413.2207421290032</v>
      </c>
      <c r="Q73" s="650" t="str">
        <f t="shared" si="45"/>
        <v>Item</v>
      </c>
      <c r="S73" s="492" t="s">
        <v>778</v>
      </c>
      <c r="AL73" s="472" t="str">
        <f t="shared" si="5"/>
        <v>A1064</v>
      </c>
      <c r="AM73" s="472" t="str">
        <f t="shared" si="6"/>
        <v>Removal of a dam liner and minor pipework to enable the reinstatement of a water dam or other storage facility.</v>
      </c>
      <c r="AN73" s="474" t="s">
        <v>643</v>
      </c>
      <c r="AO73" s="474"/>
      <c r="AP73" s="474"/>
      <c r="AQ73" s="474"/>
      <c r="AR73" s="474"/>
      <c r="AS73" s="474"/>
      <c r="AT73" s="474"/>
      <c r="AU73" s="474"/>
      <c r="AV73" s="474"/>
      <c r="AW73" s="474"/>
      <c r="AX73" s="474"/>
      <c r="AY73" s="474" t="s">
        <v>643</v>
      </c>
      <c r="AZ73" s="474" t="s">
        <v>643</v>
      </c>
      <c r="BA73" s="474"/>
      <c r="BB73" s="474"/>
      <c r="BC73" s="474"/>
      <c r="BD73" s="474"/>
    </row>
    <row r="74" spans="1:56" ht="60" x14ac:dyDescent="0.25">
      <c r="A74" s="686" t="s">
        <v>419</v>
      </c>
      <c r="B74" s="662" t="s">
        <v>339</v>
      </c>
      <c r="C74" s="640" t="s">
        <v>420</v>
      </c>
      <c r="D74" s="674" t="s">
        <v>22</v>
      </c>
      <c r="E74" s="654">
        <v>52.373671300081767</v>
      </c>
      <c r="F74" s="654">
        <v>1871.9892952720788</v>
      </c>
      <c r="G74" s="654">
        <v>242.87425595238096</v>
      </c>
      <c r="H74" s="654">
        <v>0</v>
      </c>
      <c r="I74" s="655">
        <f t="shared" ref="I74:I129" si="46">SUM(E74:H74)</f>
        <v>2167.2372225245417</v>
      </c>
      <c r="J74" s="645">
        <f t="shared" si="39"/>
        <v>52.373671300081767</v>
      </c>
      <c r="K74" s="646">
        <f t="shared" si="40"/>
        <v>1871.9892952720788</v>
      </c>
      <c r="L74" s="646">
        <f t="shared" si="41"/>
        <v>242.87425595238096</v>
      </c>
      <c r="M74" s="646">
        <f t="shared" si="42"/>
        <v>0</v>
      </c>
      <c r="N74" s="647">
        <f t="shared" si="43"/>
        <v>2167.2372225245417</v>
      </c>
      <c r="O74" s="648">
        <f t="shared" si="29"/>
        <v>0.1</v>
      </c>
      <c r="P74" s="649">
        <f t="shared" si="44"/>
        <v>2383.9609447769958</v>
      </c>
      <c r="Q74" s="650" t="str">
        <f t="shared" si="45"/>
        <v>Ha</v>
      </c>
      <c r="S74" s="492" t="s">
        <v>944</v>
      </c>
      <c r="AL74" s="472" t="str">
        <f t="shared" si="5"/>
        <v>A1065</v>
      </c>
      <c r="AM74" s="472" t="str">
        <f t="shared" si="6"/>
        <v xml:space="preserve">Re-establishment and repairs to heap leaching circuit </v>
      </c>
      <c r="AN74" s="474"/>
      <c r="AO74" s="474"/>
      <c r="AP74" s="474"/>
      <c r="AQ74" s="474"/>
      <c r="AR74" s="474"/>
      <c r="AS74" s="474"/>
      <c r="AT74" s="474" t="s">
        <v>643</v>
      </c>
      <c r="AU74" s="474"/>
      <c r="AV74" s="474"/>
      <c r="AW74" s="474"/>
      <c r="AX74" s="474"/>
      <c r="AY74" s="474"/>
      <c r="AZ74" s="474"/>
      <c r="BA74" s="474"/>
      <c r="BB74" s="474"/>
      <c r="BC74" s="474"/>
      <c r="BD74" s="474"/>
    </row>
    <row r="75" spans="1:56" ht="45" x14ac:dyDescent="0.25">
      <c r="A75" s="686" t="s">
        <v>421</v>
      </c>
      <c r="B75" s="662" t="s">
        <v>339</v>
      </c>
      <c r="C75" s="640" t="s">
        <v>422</v>
      </c>
      <c r="D75" s="674" t="s">
        <v>693</v>
      </c>
      <c r="E75" s="654">
        <v>20759.97</v>
      </c>
      <c r="F75" s="654">
        <v>0</v>
      </c>
      <c r="G75" s="654">
        <v>17409.053571428572</v>
      </c>
      <c r="H75" s="654">
        <v>0</v>
      </c>
      <c r="I75" s="655">
        <f t="shared" si="46"/>
        <v>38169.023571428574</v>
      </c>
      <c r="J75" s="645">
        <f t="shared" si="39"/>
        <v>20759.97</v>
      </c>
      <c r="K75" s="646">
        <f t="shared" si="40"/>
        <v>0</v>
      </c>
      <c r="L75" s="646">
        <f t="shared" si="41"/>
        <v>17409.053571428572</v>
      </c>
      <c r="M75" s="646">
        <f t="shared" si="42"/>
        <v>0</v>
      </c>
      <c r="N75" s="647">
        <f t="shared" si="43"/>
        <v>38169.023571428574</v>
      </c>
      <c r="O75" s="648">
        <f t="shared" si="29"/>
        <v>0.1</v>
      </c>
      <c r="P75" s="649">
        <f t="shared" si="44"/>
        <v>41985.925928571429</v>
      </c>
      <c r="Q75" s="650" t="str">
        <f t="shared" si="45"/>
        <v>month</v>
      </c>
      <c r="S75" s="492" t="s">
        <v>446</v>
      </c>
      <c r="AL75" s="472" t="str">
        <f t="shared" ref="AL75:AL113" si="47">A75</f>
        <v>A1066</v>
      </c>
      <c r="AM75" s="472" t="str">
        <f t="shared" ref="AM75:AM113" si="48">C75</f>
        <v>Flushing of solution or water through heap leach stockpiles to remove contaminated materials.</v>
      </c>
      <c r="AN75" s="474"/>
      <c r="AO75" s="474"/>
      <c r="AP75" s="474"/>
      <c r="AQ75" s="474"/>
      <c r="AR75" s="474"/>
      <c r="AS75" s="474"/>
      <c r="AT75" s="474" t="s">
        <v>643</v>
      </c>
      <c r="AU75" s="474"/>
      <c r="AV75" s="474"/>
      <c r="AW75" s="474"/>
      <c r="AX75" s="474"/>
      <c r="AY75" s="474"/>
      <c r="AZ75" s="474"/>
      <c r="BA75" s="474"/>
      <c r="BB75" s="474"/>
      <c r="BC75" s="474"/>
      <c r="BD75" s="474"/>
    </row>
    <row r="76" spans="1:56" ht="60" x14ac:dyDescent="0.25">
      <c r="A76" s="686" t="s">
        <v>423</v>
      </c>
      <c r="B76" s="662" t="s">
        <v>339</v>
      </c>
      <c r="C76" s="640" t="s">
        <v>863</v>
      </c>
      <c r="D76" s="674" t="s">
        <v>864</v>
      </c>
      <c r="E76" s="654">
        <v>0</v>
      </c>
      <c r="F76" s="654">
        <v>3946.9271900089211</v>
      </c>
      <c r="G76" s="654">
        <v>1740.9053571428572</v>
      </c>
      <c r="H76" s="654">
        <v>0</v>
      </c>
      <c r="I76" s="655">
        <f t="shared" si="46"/>
        <v>5687.8325471517783</v>
      </c>
      <c r="J76" s="645">
        <f t="shared" si="39"/>
        <v>0</v>
      </c>
      <c r="K76" s="646">
        <f t="shared" si="40"/>
        <v>3946.9271900089211</v>
      </c>
      <c r="L76" s="646">
        <f t="shared" si="41"/>
        <v>1740.9053571428572</v>
      </c>
      <c r="M76" s="646">
        <f t="shared" si="42"/>
        <v>0</v>
      </c>
      <c r="N76" s="647">
        <f t="shared" si="43"/>
        <v>5687.8325471517783</v>
      </c>
      <c r="O76" s="648">
        <f t="shared" si="29"/>
        <v>0.1</v>
      </c>
      <c r="P76" s="649">
        <f t="shared" si="44"/>
        <v>6256.6158018669557</v>
      </c>
      <c r="Q76" s="650" t="str">
        <f t="shared" si="45"/>
        <v>Months</v>
      </c>
      <c r="S76" s="492" t="s">
        <v>779</v>
      </c>
      <c r="AL76" s="472" t="str">
        <f t="shared" si="47"/>
        <v>A1067</v>
      </c>
      <c r="AM76" s="472" t="str">
        <f t="shared" si="48"/>
        <v xml:space="preserve">Treatment of water from Heap Leach stockpiles to neutralise water </v>
      </c>
      <c r="AN76" s="474"/>
      <c r="AO76" s="474"/>
      <c r="AP76" s="474"/>
      <c r="AQ76" s="474"/>
      <c r="AR76" s="474"/>
      <c r="AS76" s="474"/>
      <c r="AT76" s="474" t="s">
        <v>643</v>
      </c>
      <c r="AU76" s="474"/>
      <c r="AV76" s="474"/>
      <c r="AW76" s="474"/>
      <c r="AX76" s="474"/>
      <c r="AY76" s="474"/>
      <c r="AZ76" s="474"/>
      <c r="BA76" s="474"/>
      <c r="BB76" s="474"/>
      <c r="BC76" s="474"/>
      <c r="BD76" s="474"/>
    </row>
    <row r="77" spans="1:56" ht="45" x14ac:dyDescent="0.25">
      <c r="A77" s="686" t="s">
        <v>424</v>
      </c>
      <c r="B77" s="662" t="s">
        <v>339</v>
      </c>
      <c r="C77" s="640" t="s">
        <v>425</v>
      </c>
      <c r="D77" s="674" t="s">
        <v>50</v>
      </c>
      <c r="E77" s="654">
        <v>233589.14553077609</v>
      </c>
      <c r="F77" s="654">
        <v>0</v>
      </c>
      <c r="G77" s="654">
        <v>0</v>
      </c>
      <c r="H77" s="654">
        <v>0</v>
      </c>
      <c r="I77" s="655">
        <f t="shared" si="46"/>
        <v>233589.14553077609</v>
      </c>
      <c r="J77" s="645">
        <f t="shared" si="39"/>
        <v>233589.14553077609</v>
      </c>
      <c r="K77" s="646">
        <f t="shared" si="40"/>
        <v>0</v>
      </c>
      <c r="L77" s="646">
        <f t="shared" si="41"/>
        <v>0</v>
      </c>
      <c r="M77" s="646">
        <f t="shared" si="42"/>
        <v>0</v>
      </c>
      <c r="N77" s="647">
        <f t="shared" si="43"/>
        <v>233589.14553077609</v>
      </c>
      <c r="O77" s="648">
        <f t="shared" si="29"/>
        <v>0.1</v>
      </c>
      <c r="P77" s="649">
        <f t="shared" si="44"/>
        <v>256948.06008385369</v>
      </c>
      <c r="Q77" s="650" t="str">
        <f t="shared" si="45"/>
        <v>Sum</v>
      </c>
      <c r="S77" s="492" t="s">
        <v>780</v>
      </c>
      <c r="AL77" s="472" t="str">
        <f t="shared" si="47"/>
        <v>A1068</v>
      </c>
      <c r="AM77" s="472" t="str">
        <f t="shared" si="48"/>
        <v>Provision of water treatment equipment to treat water from heap leach (or TSF) operations.</v>
      </c>
      <c r="AN77" s="474"/>
      <c r="AO77" s="474"/>
      <c r="AP77" s="474"/>
      <c r="AQ77" s="474"/>
      <c r="AR77" s="474"/>
      <c r="AS77" s="474"/>
      <c r="AT77" s="474" t="s">
        <v>643</v>
      </c>
      <c r="AU77" s="474"/>
      <c r="AV77" s="474"/>
      <c r="AW77" s="474"/>
      <c r="AX77" s="474"/>
      <c r="AY77" s="474"/>
      <c r="AZ77" s="474"/>
      <c r="BA77" s="474"/>
      <c r="BB77" s="474"/>
      <c r="BC77" s="474"/>
      <c r="BD77" s="474"/>
    </row>
    <row r="78" spans="1:56" ht="75" x14ac:dyDescent="0.25">
      <c r="A78" s="686" t="s">
        <v>426</v>
      </c>
      <c r="B78" s="662" t="s">
        <v>275</v>
      </c>
      <c r="C78" s="640" t="s">
        <v>427</v>
      </c>
      <c r="D78" s="674" t="s">
        <v>12</v>
      </c>
      <c r="E78" s="654">
        <v>84.604259157115735</v>
      </c>
      <c r="F78" s="654">
        <v>0</v>
      </c>
      <c r="G78" s="654">
        <v>164.9597619047619</v>
      </c>
      <c r="H78" s="654">
        <v>0</v>
      </c>
      <c r="I78" s="655">
        <f t="shared" si="46"/>
        <v>249.56402106187764</v>
      </c>
      <c r="J78" s="645">
        <f t="shared" si="39"/>
        <v>84.604259157115735</v>
      </c>
      <c r="K78" s="646">
        <f t="shared" si="40"/>
        <v>0</v>
      </c>
      <c r="L78" s="646">
        <f t="shared" si="41"/>
        <v>164.9597619047619</v>
      </c>
      <c r="M78" s="646">
        <f t="shared" si="42"/>
        <v>0</v>
      </c>
      <c r="N78" s="647">
        <f t="shared" si="43"/>
        <v>249.56402106187764</v>
      </c>
      <c r="O78" s="648">
        <f t="shared" si="29"/>
        <v>0.1</v>
      </c>
      <c r="P78" s="649">
        <f t="shared" si="44"/>
        <v>274.52042316806541</v>
      </c>
      <c r="Q78" s="650" t="str">
        <f t="shared" si="45"/>
        <v>Item</v>
      </c>
      <c r="S78" s="492" t="s">
        <v>781</v>
      </c>
      <c r="AL78" s="472" t="str">
        <f t="shared" si="47"/>
        <v>A1069</v>
      </c>
      <c r="AM78" s="472" t="str">
        <f t="shared" si="48"/>
        <v>Removal of well head, cutting the casing and backfilling the area</v>
      </c>
      <c r="AN78" s="474"/>
      <c r="AO78" s="474"/>
      <c r="AP78" s="474"/>
      <c r="AQ78" s="474"/>
      <c r="AR78" s="474"/>
      <c r="AS78" s="474"/>
      <c r="AT78" s="474"/>
      <c r="AU78" s="474"/>
      <c r="AV78" s="474"/>
      <c r="AW78" s="474"/>
      <c r="AX78" s="474"/>
      <c r="AY78" s="474" t="s">
        <v>643</v>
      </c>
      <c r="AZ78" s="474"/>
      <c r="BA78" s="474"/>
      <c r="BB78" s="474"/>
      <c r="BC78" s="474"/>
      <c r="BD78" s="474"/>
    </row>
    <row r="79" spans="1:56" ht="75" x14ac:dyDescent="0.25">
      <c r="A79" s="686" t="s">
        <v>434</v>
      </c>
      <c r="B79" s="651" t="s">
        <v>275</v>
      </c>
      <c r="C79" s="640" t="s">
        <v>435</v>
      </c>
      <c r="D79" s="664" t="s">
        <v>683</v>
      </c>
      <c r="E79" s="654">
        <v>13.019540867913024</v>
      </c>
      <c r="F79" s="654">
        <v>0</v>
      </c>
      <c r="G79" s="654">
        <v>16.495976190476192</v>
      </c>
      <c r="H79" s="654">
        <v>0</v>
      </c>
      <c r="I79" s="655">
        <f t="shared" si="46"/>
        <v>29.515517058389214</v>
      </c>
      <c r="J79" s="645">
        <f t="shared" si="39"/>
        <v>13.019540867913024</v>
      </c>
      <c r="K79" s="646">
        <f t="shared" si="40"/>
        <v>0</v>
      </c>
      <c r="L79" s="646">
        <f t="shared" si="41"/>
        <v>16.495976190476192</v>
      </c>
      <c r="M79" s="646">
        <f t="shared" si="42"/>
        <v>0</v>
      </c>
      <c r="N79" s="647">
        <f t="shared" si="43"/>
        <v>29.515517058389214</v>
      </c>
      <c r="O79" s="648">
        <f t="shared" si="29"/>
        <v>0.1</v>
      </c>
      <c r="P79" s="649">
        <f t="shared" si="44"/>
        <v>32.467068764228138</v>
      </c>
      <c r="Q79" s="650" t="str">
        <f t="shared" si="45"/>
        <v>m</v>
      </c>
      <c r="S79" s="492" t="s">
        <v>782</v>
      </c>
      <c r="AL79" s="472" t="str">
        <f t="shared" si="47"/>
        <v>A1070</v>
      </c>
      <c r="AM79" s="472" t="str">
        <f t="shared" si="48"/>
        <v>Removal and Disposal of Major Trunk Pipelines</v>
      </c>
      <c r="AN79" s="474"/>
      <c r="AO79" s="474"/>
      <c r="AP79" s="474"/>
      <c r="AQ79" s="474"/>
      <c r="AR79" s="474"/>
      <c r="AS79" s="474" t="s">
        <v>643</v>
      </c>
      <c r="AT79" s="474" t="s">
        <v>643</v>
      </c>
      <c r="AU79" s="474"/>
      <c r="AV79" s="474"/>
      <c r="AW79" s="474"/>
      <c r="AX79" s="474"/>
      <c r="AY79" s="474" t="s">
        <v>643</v>
      </c>
      <c r="AZ79" s="474"/>
      <c r="BA79" s="474" t="s">
        <v>643</v>
      </c>
      <c r="BB79" s="474"/>
      <c r="BC79" s="474"/>
      <c r="BD79" s="474"/>
    </row>
    <row r="80" spans="1:56" ht="90" x14ac:dyDescent="0.25">
      <c r="A80" s="686" t="s">
        <v>436</v>
      </c>
      <c r="B80" s="662" t="s">
        <v>275</v>
      </c>
      <c r="C80" s="640" t="s">
        <v>437</v>
      </c>
      <c r="D80" s="674" t="s">
        <v>12</v>
      </c>
      <c r="E80" s="654">
        <v>407.5976560370674</v>
      </c>
      <c r="F80" s="654">
        <v>0</v>
      </c>
      <c r="G80" s="654">
        <v>549.86587301587304</v>
      </c>
      <c r="H80" s="654">
        <v>0</v>
      </c>
      <c r="I80" s="655">
        <f t="shared" si="46"/>
        <v>957.46352905294043</v>
      </c>
      <c r="J80" s="645">
        <f t="shared" si="39"/>
        <v>407.5976560370674</v>
      </c>
      <c r="K80" s="646">
        <f t="shared" si="40"/>
        <v>0</v>
      </c>
      <c r="L80" s="646">
        <f t="shared" si="41"/>
        <v>549.86587301587304</v>
      </c>
      <c r="M80" s="646">
        <f t="shared" si="42"/>
        <v>0</v>
      </c>
      <c r="N80" s="647">
        <f t="shared" si="43"/>
        <v>957.46352905294043</v>
      </c>
      <c r="O80" s="648">
        <f t="shared" si="29"/>
        <v>0.1</v>
      </c>
      <c r="P80" s="649">
        <f t="shared" si="44"/>
        <v>1053.2098819582345</v>
      </c>
      <c r="Q80" s="650" t="str">
        <f t="shared" si="45"/>
        <v>Item</v>
      </c>
      <c r="S80" s="492" t="s">
        <v>783</v>
      </c>
      <c r="AL80" s="472" t="str">
        <f t="shared" si="47"/>
        <v>A1071</v>
      </c>
      <c r="AM80" s="472" t="str">
        <f t="shared" si="48"/>
        <v>Preparation of Transportable units for Demolition and/or Transport off-site</v>
      </c>
      <c r="AN80" s="474" t="s">
        <v>643</v>
      </c>
      <c r="AO80" s="474"/>
      <c r="AP80" s="474"/>
      <c r="AQ80" s="474"/>
      <c r="AR80" s="474"/>
      <c r="AS80" s="474"/>
      <c r="AT80" s="474"/>
      <c r="AU80" s="474"/>
      <c r="AV80" s="474"/>
      <c r="AW80" s="474" t="s">
        <v>643</v>
      </c>
      <c r="AX80" s="474"/>
      <c r="AY80" s="474"/>
      <c r="AZ80" s="474"/>
      <c r="BA80" s="474"/>
      <c r="BB80" s="474"/>
      <c r="BC80" s="474"/>
      <c r="BD80" s="474"/>
    </row>
    <row r="81" spans="1:56" ht="105" x14ac:dyDescent="0.25">
      <c r="A81" s="686" t="s">
        <v>451</v>
      </c>
      <c r="B81" s="651" t="s">
        <v>339</v>
      </c>
      <c r="C81" s="640" t="s">
        <v>452</v>
      </c>
      <c r="D81" s="673" t="s">
        <v>686</v>
      </c>
      <c r="E81" s="654">
        <v>35.299854456255119</v>
      </c>
      <c r="F81" s="654">
        <v>5.0999999999999996</v>
      </c>
      <c r="G81" s="654">
        <v>50.401005952380956</v>
      </c>
      <c r="H81" s="654">
        <v>0</v>
      </c>
      <c r="I81" s="647">
        <f t="shared" si="46"/>
        <v>90.800860408636083</v>
      </c>
      <c r="J81" s="645">
        <f t="shared" si="39"/>
        <v>35.299854456255119</v>
      </c>
      <c r="K81" s="646">
        <f t="shared" si="40"/>
        <v>5.0999999999999996</v>
      </c>
      <c r="L81" s="646">
        <f t="shared" si="41"/>
        <v>50.401005952380956</v>
      </c>
      <c r="M81" s="646">
        <f t="shared" si="42"/>
        <v>0</v>
      </c>
      <c r="N81" s="647">
        <f t="shared" si="43"/>
        <v>90.800860408636083</v>
      </c>
      <c r="O81" s="648">
        <f t="shared" si="29"/>
        <v>0.1</v>
      </c>
      <c r="P81" s="649">
        <f t="shared" si="44"/>
        <v>99.880946449499689</v>
      </c>
      <c r="Q81" s="650" t="str">
        <f t="shared" si="45"/>
        <v>lin m</v>
      </c>
      <c r="S81" s="492" t="s">
        <v>450</v>
      </c>
      <c r="AL81" s="472" t="str">
        <f t="shared" si="47"/>
        <v>A1072</v>
      </c>
      <c r="AM81" s="472" t="str">
        <f t="shared" si="48"/>
        <v>Construction of Water Diversion Channels/Drains</v>
      </c>
      <c r="AN81" s="474"/>
      <c r="AO81" s="474"/>
      <c r="AP81" s="474" t="s">
        <v>643</v>
      </c>
      <c r="AQ81" s="474"/>
      <c r="AR81" s="474"/>
      <c r="AS81" s="474"/>
      <c r="AT81" s="474" t="s">
        <v>643</v>
      </c>
      <c r="AU81" s="474"/>
      <c r="AV81" s="474"/>
      <c r="AW81" s="474"/>
      <c r="AX81" s="474"/>
      <c r="AY81" s="474"/>
      <c r="AZ81" s="474" t="s">
        <v>643</v>
      </c>
      <c r="BA81" s="474"/>
      <c r="BB81" s="474" t="s">
        <v>643</v>
      </c>
      <c r="BC81" s="474"/>
      <c r="BD81" s="474"/>
    </row>
    <row r="82" spans="1:56" ht="90" x14ac:dyDescent="0.25">
      <c r="A82" s="686" t="s">
        <v>469</v>
      </c>
      <c r="B82" s="662" t="s">
        <v>292</v>
      </c>
      <c r="C82" s="640" t="s">
        <v>858</v>
      </c>
      <c r="D82" s="674" t="s">
        <v>27</v>
      </c>
      <c r="E82" s="654">
        <v>1.8935991823385119</v>
      </c>
      <c r="F82" s="654">
        <v>0</v>
      </c>
      <c r="G82" s="654">
        <v>0.87045267857142861</v>
      </c>
      <c r="H82" s="654">
        <v>0</v>
      </c>
      <c r="I82" s="655">
        <f t="shared" si="46"/>
        <v>2.7640518609099405</v>
      </c>
      <c r="J82" s="645">
        <f t="shared" si="39"/>
        <v>1.8935991823385119</v>
      </c>
      <c r="K82" s="646">
        <f t="shared" si="40"/>
        <v>0</v>
      </c>
      <c r="L82" s="646">
        <f t="shared" si="41"/>
        <v>0.87045267857142861</v>
      </c>
      <c r="M82" s="646">
        <f t="shared" si="42"/>
        <v>0</v>
      </c>
      <c r="N82" s="647">
        <f t="shared" si="43"/>
        <v>2.7640518609099405</v>
      </c>
      <c r="O82" s="648">
        <f t="shared" si="29"/>
        <v>0.1</v>
      </c>
      <c r="P82" s="649">
        <f t="shared" si="44"/>
        <v>3.0404570470009347</v>
      </c>
      <c r="Q82" s="650" t="str">
        <f t="shared" si="45"/>
        <v>m3</v>
      </c>
      <c r="S82" s="492" t="s">
        <v>859</v>
      </c>
      <c r="AL82" s="472" t="str">
        <f t="shared" si="47"/>
        <v>A1073</v>
      </c>
      <c r="AM82" s="472" t="str">
        <f t="shared" si="48"/>
        <v>The sealing of a shaft or adit with loose material or rock fill</v>
      </c>
      <c r="AN82" s="474"/>
      <c r="AO82" s="474" t="s">
        <v>643</v>
      </c>
      <c r="AP82" s="474"/>
      <c r="AQ82" s="474"/>
      <c r="AR82" s="474"/>
      <c r="AS82" s="474"/>
      <c r="AT82" s="474"/>
      <c r="AU82" s="474"/>
      <c r="AV82" s="474"/>
      <c r="AW82" s="474"/>
      <c r="AX82" s="474"/>
      <c r="AY82" s="474"/>
      <c r="AZ82" s="474"/>
      <c r="BA82" s="474"/>
      <c r="BB82" s="474"/>
      <c r="BC82" s="474"/>
      <c r="BD82" s="474"/>
    </row>
    <row r="83" spans="1:56" ht="60" x14ac:dyDescent="0.25">
      <c r="A83" s="686" t="s">
        <v>470</v>
      </c>
      <c r="B83" s="662" t="s">
        <v>292</v>
      </c>
      <c r="C83" s="640" t="s">
        <v>471</v>
      </c>
      <c r="D83" s="674" t="s">
        <v>236</v>
      </c>
      <c r="E83" s="654">
        <v>0</v>
      </c>
      <c r="F83" s="654">
        <v>374.39785905441573</v>
      </c>
      <c r="G83" s="654">
        <v>0</v>
      </c>
      <c r="H83" s="654">
        <v>1393.4094302131623</v>
      </c>
      <c r="I83" s="655">
        <f t="shared" si="46"/>
        <v>1767.807289267578</v>
      </c>
      <c r="J83" s="645">
        <f t="shared" ref="J83:J91" si="49">E83*J$8*J$7</f>
        <v>0</v>
      </c>
      <c r="K83" s="646">
        <f t="shared" ref="K83:K92" si="50">F83*K$8*K$7</f>
        <v>374.39785905441573</v>
      </c>
      <c r="L83" s="646">
        <f t="shared" ref="L83:L92" si="51">G83*L$8*L$7</f>
        <v>0</v>
      </c>
      <c r="M83" s="646">
        <f t="shared" ref="M83:M94" si="52">H83*M$8*M$7</f>
        <v>1393.4094302131623</v>
      </c>
      <c r="N83" s="647">
        <f t="shared" ref="N83:N94" si="53">SUM(J83:M83)</f>
        <v>1767.807289267578</v>
      </c>
      <c r="O83" s="648">
        <f t="shared" si="29"/>
        <v>0.1</v>
      </c>
      <c r="P83" s="649">
        <f t="shared" si="44"/>
        <v>1944.5880181943357</v>
      </c>
      <c r="Q83" s="650" t="str">
        <f t="shared" si="45"/>
        <v>m2</v>
      </c>
      <c r="S83" s="492" t="s">
        <v>611</v>
      </c>
      <c r="AL83" s="472" t="str">
        <f t="shared" si="47"/>
        <v>A1074</v>
      </c>
      <c r="AM83" s="472" t="str">
        <f t="shared" si="48"/>
        <v>The sealing of a shaft with a Concrete Cap</v>
      </c>
      <c r="AN83" s="474"/>
      <c r="AO83" s="474" t="s">
        <v>643</v>
      </c>
      <c r="AP83" s="474"/>
      <c r="AQ83" s="474"/>
      <c r="AR83" s="474"/>
      <c r="AS83" s="474"/>
      <c r="AT83" s="474"/>
      <c r="AU83" s="474"/>
      <c r="AV83" s="474"/>
      <c r="AW83" s="474"/>
      <c r="AX83" s="474"/>
      <c r="AY83" s="474"/>
      <c r="AZ83" s="474"/>
      <c r="BA83" s="474"/>
      <c r="BB83" s="474"/>
      <c r="BC83" s="474"/>
      <c r="BD83" s="474"/>
    </row>
    <row r="84" spans="1:56" ht="75" x14ac:dyDescent="0.25">
      <c r="A84" s="686" t="s">
        <v>473</v>
      </c>
      <c r="B84" s="662" t="s">
        <v>292</v>
      </c>
      <c r="C84" s="640" t="s">
        <v>474</v>
      </c>
      <c r="D84" s="674" t="s">
        <v>236</v>
      </c>
      <c r="E84" s="654">
        <v>400.79151187061245</v>
      </c>
      <c r="F84" s="654">
        <v>321.41911813431886</v>
      </c>
      <c r="G84" s="654">
        <v>355.18061011904763</v>
      </c>
      <c r="H84" s="654">
        <v>0</v>
      </c>
      <c r="I84" s="655">
        <f t="shared" si="46"/>
        <v>1077.3912401239791</v>
      </c>
      <c r="J84" s="645">
        <f t="shared" si="49"/>
        <v>400.79151187061245</v>
      </c>
      <c r="K84" s="646">
        <f t="shared" si="50"/>
        <v>321.41911813431886</v>
      </c>
      <c r="L84" s="646">
        <f t="shared" si="51"/>
        <v>355.18061011904763</v>
      </c>
      <c r="M84" s="646">
        <f t="shared" si="52"/>
        <v>0</v>
      </c>
      <c r="N84" s="647">
        <f t="shared" si="53"/>
        <v>1077.3912401239791</v>
      </c>
      <c r="O84" s="648">
        <f t="shared" si="29"/>
        <v>0.1</v>
      </c>
      <c r="P84" s="649">
        <f t="shared" si="44"/>
        <v>1185.130364136377</v>
      </c>
      <c r="Q84" s="650" t="str">
        <f t="shared" si="45"/>
        <v>m2</v>
      </c>
      <c r="S84" s="492" t="s">
        <v>784</v>
      </c>
      <c r="AL84" s="472" t="str">
        <f t="shared" si="47"/>
        <v>A1075</v>
      </c>
      <c r="AM84" s="472" t="str">
        <f t="shared" si="48"/>
        <v xml:space="preserve">Construction of a Concrete wall to seal a Portal </v>
      </c>
      <c r="AN84" s="474"/>
      <c r="AO84" s="474" t="s">
        <v>643</v>
      </c>
      <c r="AP84" s="474"/>
      <c r="AQ84" s="474"/>
      <c r="AR84" s="474"/>
      <c r="AS84" s="474"/>
      <c r="AT84" s="474"/>
      <c r="AU84" s="474"/>
      <c r="AV84" s="474"/>
      <c r="AW84" s="474"/>
      <c r="AX84" s="474"/>
      <c r="AY84" s="474"/>
      <c r="AZ84" s="474"/>
      <c r="BA84" s="474"/>
      <c r="BB84" s="474"/>
      <c r="BC84" s="474"/>
      <c r="BD84" s="474"/>
    </row>
    <row r="85" spans="1:56" ht="120" x14ac:dyDescent="0.25">
      <c r="A85" s="686" t="s">
        <v>503</v>
      </c>
      <c r="B85" s="662" t="s">
        <v>292</v>
      </c>
      <c r="C85" s="640" t="s">
        <v>815</v>
      </c>
      <c r="D85" s="674" t="s">
        <v>27</v>
      </c>
      <c r="E85" s="654">
        <v>11.674078107113655</v>
      </c>
      <c r="F85" s="654">
        <v>0</v>
      </c>
      <c r="G85" s="654">
        <v>6.5283950892857145</v>
      </c>
      <c r="H85" s="654">
        <v>0</v>
      </c>
      <c r="I85" s="655">
        <f t="shared" si="46"/>
        <v>18.202473196399367</v>
      </c>
      <c r="J85" s="645">
        <f t="shared" si="49"/>
        <v>11.674078107113655</v>
      </c>
      <c r="K85" s="646">
        <f t="shared" si="50"/>
        <v>0</v>
      </c>
      <c r="L85" s="646">
        <f t="shared" si="51"/>
        <v>6.5283950892857145</v>
      </c>
      <c r="M85" s="646">
        <f t="shared" si="52"/>
        <v>0</v>
      </c>
      <c r="N85" s="647">
        <f t="shared" si="53"/>
        <v>18.202473196399367</v>
      </c>
      <c r="O85" s="648">
        <f t="shared" si="29"/>
        <v>0.1</v>
      </c>
      <c r="P85" s="649">
        <f t="shared" si="44"/>
        <v>20.022720516039303</v>
      </c>
      <c r="Q85" s="650" t="str">
        <f t="shared" si="45"/>
        <v>m3</v>
      </c>
      <c r="S85" s="492" t="s">
        <v>566</v>
      </c>
      <c r="AL85" s="472" t="str">
        <f t="shared" si="47"/>
        <v>A1076</v>
      </c>
      <c r="AM85" s="472" t="str">
        <f t="shared" si="48"/>
        <v>Excavation of pit on site for the onsite Burial and Disposal of Equipment and Waste.  The costs include excavation, depositing of the waste, and the covering.</v>
      </c>
      <c r="AN85" s="474" t="s">
        <v>643</v>
      </c>
      <c r="AO85" s="474"/>
      <c r="AP85" s="474"/>
      <c r="AQ85" s="474"/>
      <c r="AR85" s="474" t="s">
        <v>643</v>
      </c>
      <c r="AS85" s="474"/>
      <c r="AT85" s="474"/>
      <c r="AU85" s="474"/>
      <c r="AV85" s="474"/>
      <c r="AW85" s="474"/>
      <c r="AX85" s="474"/>
      <c r="AY85" s="474"/>
      <c r="AZ85" s="474"/>
      <c r="BA85" s="474" t="s">
        <v>643</v>
      </c>
      <c r="BB85" s="474"/>
      <c r="BC85" s="474"/>
      <c r="BD85" s="474"/>
    </row>
    <row r="86" spans="1:56" ht="45" x14ac:dyDescent="0.25">
      <c r="A86" s="686" t="s">
        <v>505</v>
      </c>
      <c r="B86" s="662" t="s">
        <v>275</v>
      </c>
      <c r="C86" s="640" t="s">
        <v>506</v>
      </c>
      <c r="D86" s="674" t="s">
        <v>236</v>
      </c>
      <c r="E86" s="654">
        <v>33.575389185282098</v>
      </c>
      <c r="F86" s="654">
        <v>0</v>
      </c>
      <c r="G86" s="654">
        <v>13.562011904761905</v>
      </c>
      <c r="H86" s="654">
        <v>0</v>
      </c>
      <c r="I86" s="655">
        <f t="shared" si="46"/>
        <v>47.137401090044001</v>
      </c>
      <c r="J86" s="645">
        <f t="shared" si="49"/>
        <v>33.575389185282098</v>
      </c>
      <c r="K86" s="646">
        <f t="shared" si="50"/>
        <v>0</v>
      </c>
      <c r="L86" s="646">
        <f t="shared" si="51"/>
        <v>13.562011904761905</v>
      </c>
      <c r="M86" s="646">
        <f t="shared" si="52"/>
        <v>0</v>
      </c>
      <c r="N86" s="647">
        <f t="shared" si="53"/>
        <v>47.137401090044001</v>
      </c>
      <c r="O86" s="648">
        <f t="shared" si="29"/>
        <v>0.1</v>
      </c>
      <c r="P86" s="649">
        <f t="shared" si="44"/>
        <v>51.851141199048399</v>
      </c>
      <c r="Q86" s="650" t="str">
        <f t="shared" si="45"/>
        <v>m2</v>
      </c>
      <c r="S86" s="492" t="s">
        <v>521</v>
      </c>
      <c r="AL86" s="472" t="str">
        <f t="shared" si="47"/>
        <v>A1077</v>
      </c>
      <c r="AM86" s="472" t="str">
        <f t="shared" si="48"/>
        <v xml:space="preserve">Demolish concrete pads, normal shed floors, pathways and minor footings  </v>
      </c>
      <c r="AN86" s="474"/>
      <c r="AO86" s="474"/>
      <c r="AP86" s="474"/>
      <c r="AQ86" s="474"/>
      <c r="AR86" s="474" t="s">
        <v>643</v>
      </c>
      <c r="AS86" s="474"/>
      <c r="AT86" s="474"/>
      <c r="AU86" s="474"/>
      <c r="AV86" s="474"/>
      <c r="AW86" s="474" t="s">
        <v>643</v>
      </c>
      <c r="AX86" s="474" t="s">
        <v>643</v>
      </c>
      <c r="AY86" s="474"/>
      <c r="AZ86" s="474"/>
      <c r="BA86" s="474"/>
      <c r="BB86" s="474"/>
      <c r="BC86" s="474"/>
      <c r="BD86" s="474"/>
    </row>
    <row r="87" spans="1:56" ht="45" x14ac:dyDescent="0.25">
      <c r="A87" s="686" t="s">
        <v>524</v>
      </c>
      <c r="B87" s="662" t="s">
        <v>275</v>
      </c>
      <c r="C87" s="640" t="s">
        <v>576</v>
      </c>
      <c r="D87" s="674" t="s">
        <v>12</v>
      </c>
      <c r="E87" s="654">
        <v>59.764178250204424</v>
      </c>
      <c r="F87" s="654">
        <v>0</v>
      </c>
      <c r="G87" s="654">
        <v>259.72940476190479</v>
      </c>
      <c r="H87" s="654">
        <v>0</v>
      </c>
      <c r="I87" s="655">
        <f t="shared" si="46"/>
        <v>319.49358301210918</v>
      </c>
      <c r="J87" s="645">
        <f t="shared" si="49"/>
        <v>59.764178250204424</v>
      </c>
      <c r="K87" s="646">
        <f t="shared" si="50"/>
        <v>0</v>
      </c>
      <c r="L87" s="646">
        <f t="shared" si="51"/>
        <v>259.72940476190479</v>
      </c>
      <c r="M87" s="646">
        <f t="shared" si="52"/>
        <v>0</v>
      </c>
      <c r="N87" s="647">
        <f t="shared" si="53"/>
        <v>319.49358301210918</v>
      </c>
      <c r="O87" s="648">
        <f t="shared" si="29"/>
        <v>0.1</v>
      </c>
      <c r="P87" s="649">
        <f t="shared" si="44"/>
        <v>351.44294131332009</v>
      </c>
      <c r="Q87" s="650" t="str">
        <f t="shared" si="45"/>
        <v>Item</v>
      </c>
      <c r="S87" s="492" t="s">
        <v>785</v>
      </c>
      <c r="AL87" s="472" t="str">
        <f t="shared" si="47"/>
        <v>A1078</v>
      </c>
      <c r="AM87" s="472" t="str">
        <f t="shared" si="48"/>
        <v>Disconnection of Services to Individual Camp, Office or Other units (Unit basis)</v>
      </c>
      <c r="AN87" s="474"/>
      <c r="AO87" s="474"/>
      <c r="AP87" s="474"/>
      <c r="AQ87" s="474"/>
      <c r="AR87" s="474"/>
      <c r="AS87" s="474"/>
      <c r="AT87" s="474"/>
      <c r="AU87" s="474"/>
      <c r="AV87" s="474"/>
      <c r="AW87" s="474" t="s">
        <v>643</v>
      </c>
      <c r="AX87" s="474"/>
      <c r="AY87" s="474"/>
      <c r="AZ87" s="474"/>
      <c r="BA87" s="474"/>
      <c r="BB87" s="474"/>
      <c r="BC87" s="474"/>
      <c r="BD87" s="474"/>
    </row>
    <row r="88" spans="1:56" ht="165" x14ac:dyDescent="0.25">
      <c r="A88" s="686" t="s">
        <v>556</v>
      </c>
      <c r="B88" s="662" t="s">
        <v>275</v>
      </c>
      <c r="C88" s="640" t="s">
        <v>557</v>
      </c>
      <c r="D88" s="674" t="s">
        <v>694</v>
      </c>
      <c r="E88" s="654">
        <v>7759.9443224168353</v>
      </c>
      <c r="F88" s="654">
        <v>0</v>
      </c>
      <c r="G88" s="654">
        <v>14715.691666666669</v>
      </c>
      <c r="H88" s="654">
        <v>0</v>
      </c>
      <c r="I88" s="655">
        <f t="shared" si="46"/>
        <v>22475.635989083505</v>
      </c>
      <c r="J88" s="645">
        <f t="shared" si="49"/>
        <v>7759.9443224168353</v>
      </c>
      <c r="K88" s="646">
        <f t="shared" si="50"/>
        <v>0</v>
      </c>
      <c r="L88" s="646">
        <f t="shared" si="51"/>
        <v>14715.691666666669</v>
      </c>
      <c r="M88" s="646">
        <f t="shared" si="52"/>
        <v>0</v>
      </c>
      <c r="N88" s="647">
        <f t="shared" si="53"/>
        <v>22475.635989083505</v>
      </c>
      <c r="O88" s="648">
        <f t="shared" si="29"/>
        <v>0.1</v>
      </c>
      <c r="P88" s="649">
        <f t="shared" si="44"/>
        <v>24723.199587991854</v>
      </c>
      <c r="Q88" s="650" t="str">
        <f t="shared" si="45"/>
        <v>Hour</v>
      </c>
      <c r="S88" s="492" t="s">
        <v>786</v>
      </c>
      <c r="AL88" s="472" t="str">
        <f t="shared" si="47"/>
        <v>A1079</v>
      </c>
      <c r="AM88" s="472" t="str">
        <f t="shared" si="48"/>
        <v>Demolition, Removing and Dumping of ISO Well Houses or Filter Skids from Wellfields</v>
      </c>
      <c r="AN88" s="474"/>
      <c r="AO88" s="474"/>
      <c r="AP88" s="474"/>
      <c r="AQ88" s="474"/>
      <c r="AR88" s="474"/>
      <c r="AS88" s="474"/>
      <c r="AT88" s="474"/>
      <c r="AU88" s="474"/>
      <c r="AV88" s="474"/>
      <c r="AW88" s="474"/>
      <c r="AX88" s="474"/>
      <c r="AY88" s="474"/>
      <c r="AZ88" s="474"/>
      <c r="BA88" s="474" t="s">
        <v>643</v>
      </c>
      <c r="BB88" s="474"/>
      <c r="BC88" s="474"/>
      <c r="BD88" s="474"/>
    </row>
    <row r="89" spans="1:56" ht="90" x14ac:dyDescent="0.25">
      <c r="A89" s="686" t="s">
        <v>559</v>
      </c>
      <c r="B89" s="662" t="s">
        <v>560</v>
      </c>
      <c r="C89" s="640" t="s">
        <v>895</v>
      </c>
      <c r="D89" s="674" t="s">
        <v>570</v>
      </c>
      <c r="E89" s="654">
        <v>106.05726408013084</v>
      </c>
      <c r="F89" s="654">
        <v>0</v>
      </c>
      <c r="G89" s="654">
        <v>113.15884821428571</v>
      </c>
      <c r="H89" s="654">
        <v>1296.814692615482</v>
      </c>
      <c r="I89" s="655">
        <f t="shared" si="46"/>
        <v>1516.0308049098985</v>
      </c>
      <c r="J89" s="645">
        <f t="shared" si="49"/>
        <v>106.05726408013084</v>
      </c>
      <c r="K89" s="646">
        <f t="shared" si="50"/>
        <v>0</v>
      </c>
      <c r="L89" s="646">
        <f t="shared" si="51"/>
        <v>113.15884821428571</v>
      </c>
      <c r="M89" s="646">
        <f t="shared" si="52"/>
        <v>1296.814692615482</v>
      </c>
      <c r="N89" s="647">
        <f t="shared" si="53"/>
        <v>1516.0308049098985</v>
      </c>
      <c r="O89" s="648">
        <f t="shared" si="29"/>
        <v>0.1</v>
      </c>
      <c r="P89" s="649">
        <f t="shared" si="44"/>
        <v>1667.6338854008884</v>
      </c>
      <c r="Q89" s="650" t="str">
        <f t="shared" si="45"/>
        <v>Hole</v>
      </c>
      <c r="S89" s="492" t="s">
        <v>561</v>
      </c>
      <c r="AL89" s="472" t="str">
        <f t="shared" si="47"/>
        <v>A1080</v>
      </c>
      <c r="AM89" s="472" t="str">
        <f t="shared" si="48"/>
        <v>The Grouting and Rehabilitation of Individual Wells - 150mm Diameter (including the removal of spiderlines, signal wires and breaking backfilling to surface level)</v>
      </c>
      <c r="AN89" s="474"/>
      <c r="AO89" s="474"/>
      <c r="AP89" s="474"/>
      <c r="AQ89" s="474"/>
      <c r="AR89" s="474"/>
      <c r="AS89" s="474"/>
      <c r="AT89" s="474"/>
      <c r="AU89" s="474"/>
      <c r="AV89" s="474"/>
      <c r="AW89" s="474"/>
      <c r="AX89" s="474"/>
      <c r="AY89" s="474"/>
      <c r="AZ89" s="474"/>
      <c r="BA89" s="474" t="s">
        <v>643</v>
      </c>
      <c r="BB89" s="474"/>
      <c r="BC89" s="474"/>
      <c r="BD89" s="474"/>
    </row>
    <row r="90" spans="1:56" ht="90" x14ac:dyDescent="0.25">
      <c r="A90" s="686" t="s">
        <v>562</v>
      </c>
      <c r="B90" s="662" t="s">
        <v>560</v>
      </c>
      <c r="C90" s="640" t="s">
        <v>896</v>
      </c>
      <c r="D90" s="674" t="s">
        <v>570</v>
      </c>
      <c r="E90" s="654">
        <v>106.05726408013084</v>
      </c>
      <c r="F90" s="654">
        <v>0</v>
      </c>
      <c r="G90" s="654">
        <v>113.15884821428571</v>
      </c>
      <c r="H90" s="654">
        <v>989.18584937745368</v>
      </c>
      <c r="I90" s="655">
        <f t="shared" si="46"/>
        <v>1208.4019616718701</v>
      </c>
      <c r="J90" s="645">
        <f t="shared" si="49"/>
        <v>106.05726408013084</v>
      </c>
      <c r="K90" s="646">
        <f t="shared" si="50"/>
        <v>0</v>
      </c>
      <c r="L90" s="646">
        <f t="shared" si="51"/>
        <v>113.15884821428571</v>
      </c>
      <c r="M90" s="646">
        <f t="shared" si="52"/>
        <v>989.18584937745368</v>
      </c>
      <c r="N90" s="647">
        <f t="shared" si="53"/>
        <v>1208.4019616718701</v>
      </c>
      <c r="O90" s="648">
        <f t="shared" si="29"/>
        <v>0.1</v>
      </c>
      <c r="P90" s="649">
        <f t="shared" si="44"/>
        <v>1329.2421578390572</v>
      </c>
      <c r="Q90" s="650" t="str">
        <f t="shared" si="45"/>
        <v>Hole</v>
      </c>
      <c r="S90" s="492" t="s">
        <v>561</v>
      </c>
      <c r="AL90" s="472" t="str">
        <f t="shared" si="47"/>
        <v>A1081</v>
      </c>
      <c r="AM90" s="472" t="str">
        <f t="shared" si="48"/>
        <v>The Grouting and Rehabilitation of Individual Wells - 125mm Diameter (including the removal of spiderlines, signal wires and breaking backfilling to surface level)</v>
      </c>
      <c r="AN90" s="474"/>
      <c r="AO90" s="474"/>
      <c r="AP90" s="474"/>
      <c r="AQ90" s="474"/>
      <c r="AR90" s="474"/>
      <c r="AS90" s="474"/>
      <c r="AT90" s="474"/>
      <c r="AU90" s="474"/>
      <c r="AV90" s="474"/>
      <c r="AW90" s="474"/>
      <c r="AX90" s="474"/>
      <c r="AY90" s="474"/>
      <c r="AZ90" s="474"/>
      <c r="BA90" s="474" t="s">
        <v>643</v>
      </c>
      <c r="BB90" s="474"/>
      <c r="BC90" s="474"/>
      <c r="BD90" s="474"/>
    </row>
    <row r="91" spans="1:56" ht="90" x14ac:dyDescent="0.25">
      <c r="A91" s="686" t="s">
        <v>563</v>
      </c>
      <c r="B91" s="662" t="s">
        <v>560</v>
      </c>
      <c r="C91" s="640" t="s">
        <v>897</v>
      </c>
      <c r="D91" s="674" t="s">
        <v>570</v>
      </c>
      <c r="E91" s="654">
        <v>106.05726408013084</v>
      </c>
      <c r="F91" s="654">
        <v>0</v>
      </c>
      <c r="G91" s="654">
        <v>113.15884821428571</v>
      </c>
      <c r="H91" s="654">
        <v>777.02802645467534</v>
      </c>
      <c r="I91" s="655">
        <f t="shared" si="46"/>
        <v>996.24413874909192</v>
      </c>
      <c r="J91" s="645">
        <f t="shared" si="49"/>
        <v>106.05726408013084</v>
      </c>
      <c r="K91" s="646">
        <f t="shared" si="50"/>
        <v>0</v>
      </c>
      <c r="L91" s="646">
        <f t="shared" si="51"/>
        <v>113.15884821428571</v>
      </c>
      <c r="M91" s="646">
        <f t="shared" si="52"/>
        <v>777.02802645467534</v>
      </c>
      <c r="N91" s="647">
        <f t="shared" si="53"/>
        <v>996.24413874909192</v>
      </c>
      <c r="O91" s="648">
        <f t="shared" si="29"/>
        <v>0.1</v>
      </c>
      <c r="P91" s="649">
        <f t="shared" si="44"/>
        <v>1095.868552624001</v>
      </c>
      <c r="Q91" s="650" t="str">
        <f t="shared" si="45"/>
        <v>Hole</v>
      </c>
      <c r="S91" s="492" t="s">
        <v>561</v>
      </c>
      <c r="AL91" s="472" t="str">
        <f t="shared" si="47"/>
        <v>A1082</v>
      </c>
      <c r="AM91" s="472" t="str">
        <f t="shared" si="48"/>
        <v>The Grouting and Rehabilitation of Individual Wells - 100mm Diameter (including the removal of spiderlines, signal wires and breaking backfilling to surface level)</v>
      </c>
      <c r="AN91" s="474"/>
      <c r="AO91" s="474"/>
      <c r="AP91" s="474"/>
      <c r="AQ91" s="474"/>
      <c r="AR91" s="474"/>
      <c r="AS91" s="474"/>
      <c r="AT91" s="474"/>
      <c r="AU91" s="474"/>
      <c r="AV91" s="474"/>
      <c r="AW91" s="474"/>
      <c r="AX91" s="474"/>
      <c r="AY91" s="474"/>
      <c r="AZ91" s="474"/>
      <c r="BA91" s="474" t="s">
        <v>643</v>
      </c>
      <c r="BB91" s="474"/>
      <c r="BC91" s="474"/>
      <c r="BD91" s="474"/>
    </row>
    <row r="92" spans="1:56" ht="75" x14ac:dyDescent="0.25">
      <c r="A92" s="686" t="s">
        <v>568</v>
      </c>
      <c r="B92" s="662" t="s">
        <v>560</v>
      </c>
      <c r="C92" s="640" t="s">
        <v>569</v>
      </c>
      <c r="D92" s="674" t="s">
        <v>12</v>
      </c>
      <c r="E92" s="654">
        <v>0</v>
      </c>
      <c r="F92" s="654">
        <v>0</v>
      </c>
      <c r="G92" s="654">
        <v>81.684724702380947</v>
      </c>
      <c r="H92" s="654">
        <v>0</v>
      </c>
      <c r="I92" s="655">
        <f t="shared" si="46"/>
        <v>81.684724702380947</v>
      </c>
      <c r="J92" s="645">
        <f t="shared" ref="J92:J98" si="54">E92*J$8*J$7</f>
        <v>0</v>
      </c>
      <c r="K92" s="646">
        <f t="shared" si="50"/>
        <v>0</v>
      </c>
      <c r="L92" s="646">
        <f t="shared" si="51"/>
        <v>81.684724702380947</v>
      </c>
      <c r="M92" s="646">
        <f t="shared" si="52"/>
        <v>0</v>
      </c>
      <c r="N92" s="647">
        <f t="shared" si="53"/>
        <v>81.684724702380947</v>
      </c>
      <c r="O92" s="648">
        <f t="shared" si="29"/>
        <v>0.1</v>
      </c>
      <c r="P92" s="649">
        <f t="shared" si="44"/>
        <v>89.853197172619048</v>
      </c>
      <c r="Q92" s="650" t="str">
        <f t="shared" si="45"/>
        <v>Item</v>
      </c>
      <c r="S92" s="492" t="s">
        <v>582</v>
      </c>
      <c r="AL92" s="472" t="str">
        <f t="shared" si="47"/>
        <v>A1083</v>
      </c>
      <c r="AM92" s="472" t="str">
        <f t="shared" si="48"/>
        <v>Radiological and Contamination Survey of Wellfields</v>
      </c>
      <c r="AN92" s="474"/>
      <c r="AO92" s="474"/>
      <c r="AP92" s="474"/>
      <c r="AQ92" s="474"/>
      <c r="AR92" s="474"/>
      <c r="AS92" s="474"/>
      <c r="AT92" s="474"/>
      <c r="AU92" s="474"/>
      <c r="AV92" s="474"/>
      <c r="AW92" s="474"/>
      <c r="AX92" s="474"/>
      <c r="AY92" s="474"/>
      <c r="AZ92" s="474"/>
      <c r="BA92" s="474" t="s">
        <v>643</v>
      </c>
      <c r="BB92" s="474"/>
      <c r="BC92" s="474"/>
      <c r="BD92" s="474"/>
    </row>
    <row r="93" spans="1:56" ht="60" x14ac:dyDescent="0.25">
      <c r="A93" s="686" t="s">
        <v>604</v>
      </c>
      <c r="B93" s="662" t="s">
        <v>275</v>
      </c>
      <c r="C93" s="640" t="s">
        <v>695</v>
      </c>
      <c r="D93" s="674" t="s">
        <v>54</v>
      </c>
      <c r="E93" s="654">
        <v>0</v>
      </c>
      <c r="F93" s="654">
        <v>0</v>
      </c>
      <c r="G93" s="654">
        <v>0</v>
      </c>
      <c r="H93" s="654">
        <v>16747.805267358341</v>
      </c>
      <c r="I93" s="655">
        <f t="shared" si="46"/>
        <v>16747.805267358341</v>
      </c>
      <c r="J93" s="645">
        <f t="shared" si="54"/>
        <v>0</v>
      </c>
      <c r="K93" s="646">
        <f t="shared" ref="K93:L98" si="55">F93*K$8*K$7</f>
        <v>0</v>
      </c>
      <c r="L93" s="646">
        <f t="shared" si="55"/>
        <v>0</v>
      </c>
      <c r="M93" s="646">
        <f t="shared" si="52"/>
        <v>16747.805267358341</v>
      </c>
      <c r="N93" s="647">
        <f t="shared" si="53"/>
        <v>16747.805267358341</v>
      </c>
      <c r="O93" s="648">
        <f t="shared" si="29"/>
        <v>0.1</v>
      </c>
      <c r="P93" s="649">
        <f t="shared" si="44"/>
        <v>18422.585794094175</v>
      </c>
      <c r="Q93" s="650" t="str">
        <f t="shared" si="45"/>
        <v>km</v>
      </c>
      <c r="S93" s="492" t="s">
        <v>787</v>
      </c>
      <c r="AL93" s="472" t="str">
        <f t="shared" si="47"/>
        <v>A1084</v>
      </c>
      <c r="AM93" s="472" t="str">
        <f t="shared" si="48"/>
        <v>Removal of low/medium voltage powerlines including disconnection</v>
      </c>
      <c r="AN93" s="474"/>
      <c r="AO93" s="474"/>
      <c r="AP93" s="474"/>
      <c r="AQ93" s="474"/>
      <c r="AR93" s="474"/>
      <c r="AS93" s="474"/>
      <c r="AT93" s="474"/>
      <c r="AU93" s="474"/>
      <c r="AV93" s="474"/>
      <c r="AW93" s="474"/>
      <c r="AX93" s="474"/>
      <c r="AY93" s="474" t="s">
        <v>643</v>
      </c>
      <c r="AZ93" s="474"/>
      <c r="BA93" s="474"/>
      <c r="BB93" s="474"/>
      <c r="BC93" s="474"/>
      <c r="BD93" s="474"/>
    </row>
    <row r="94" spans="1:56" ht="75" x14ac:dyDescent="0.25">
      <c r="A94" s="686" t="s">
        <v>606</v>
      </c>
      <c r="B94" s="662" t="s">
        <v>275</v>
      </c>
      <c r="C94" s="640" t="s">
        <v>696</v>
      </c>
      <c r="D94" s="674" t="s">
        <v>91</v>
      </c>
      <c r="E94" s="654">
        <v>0</v>
      </c>
      <c r="F94" s="654">
        <v>0</v>
      </c>
      <c r="G94" s="654">
        <v>0</v>
      </c>
      <c r="H94" s="654">
        <v>111652.03511572228</v>
      </c>
      <c r="I94" s="655">
        <f t="shared" si="46"/>
        <v>111652.03511572228</v>
      </c>
      <c r="J94" s="645">
        <f t="shared" si="54"/>
        <v>0</v>
      </c>
      <c r="K94" s="646">
        <f t="shared" si="55"/>
        <v>0</v>
      </c>
      <c r="L94" s="646">
        <f t="shared" si="55"/>
        <v>0</v>
      </c>
      <c r="M94" s="646">
        <f t="shared" si="52"/>
        <v>111652.03511572228</v>
      </c>
      <c r="N94" s="647">
        <f t="shared" si="53"/>
        <v>111652.03511572228</v>
      </c>
      <c r="O94" s="648">
        <f t="shared" si="29"/>
        <v>0.1</v>
      </c>
      <c r="P94" s="649">
        <f>N94+(N94*O94)</f>
        <v>122817.2386272945</v>
      </c>
      <c r="Q94" s="650" t="str">
        <f t="shared" si="45"/>
        <v>Km</v>
      </c>
      <c r="S94" s="492" t="s">
        <v>788</v>
      </c>
      <c r="AL94" s="472" t="str">
        <f t="shared" si="47"/>
        <v>A1085</v>
      </c>
      <c r="AM94" s="472" t="str">
        <f t="shared" si="48"/>
        <v>Removal of power lines on tower or lattice structures (this includes disconnection, rolling up the wires and removing the structures)</v>
      </c>
      <c r="AN94" s="474"/>
      <c r="AO94" s="474"/>
      <c r="AP94" s="474"/>
      <c r="AQ94" s="474"/>
      <c r="AR94" s="474"/>
      <c r="AS94" s="474"/>
      <c r="AT94" s="474"/>
      <c r="AU94" s="474"/>
      <c r="AV94" s="474"/>
      <c r="AW94" s="474"/>
      <c r="AX94" s="474"/>
      <c r="AY94" s="474" t="s">
        <v>643</v>
      </c>
      <c r="AZ94" s="474"/>
      <c r="BA94" s="474"/>
      <c r="BB94" s="474"/>
      <c r="BC94" s="474"/>
      <c r="BD94" s="474"/>
    </row>
    <row r="95" spans="1:56" ht="30" x14ac:dyDescent="0.25">
      <c r="A95" s="686" t="s">
        <v>607</v>
      </c>
      <c r="B95" s="662" t="s">
        <v>292</v>
      </c>
      <c r="C95" s="640" t="s">
        <v>697</v>
      </c>
      <c r="D95" s="674" t="s">
        <v>236</v>
      </c>
      <c r="E95" s="654">
        <v>1.4093278822567457</v>
      </c>
      <c r="F95" s="654">
        <v>1.6247567567567567</v>
      </c>
      <c r="G95" s="654">
        <v>2.6732395833333333</v>
      </c>
      <c r="H95" s="654">
        <v>0</v>
      </c>
      <c r="I95" s="655">
        <f t="shared" si="46"/>
        <v>5.7073242223468359</v>
      </c>
      <c r="J95" s="645">
        <f t="shared" si="54"/>
        <v>1.4093278822567457</v>
      </c>
      <c r="K95" s="646">
        <f t="shared" si="55"/>
        <v>1.6247567567567567</v>
      </c>
      <c r="L95" s="646">
        <f t="shared" si="55"/>
        <v>2.6732395833333333</v>
      </c>
      <c r="M95" s="646">
        <f>H95*M$8*M$7</f>
        <v>0</v>
      </c>
      <c r="N95" s="647">
        <f>SUM(J95:M95)</f>
        <v>5.7073242223468359</v>
      </c>
      <c r="O95" s="648">
        <f t="shared" si="29"/>
        <v>0.1</v>
      </c>
      <c r="P95" s="649">
        <f>N95+(N95*O95)</f>
        <v>6.2780566445815191</v>
      </c>
      <c r="Q95" s="650" t="str">
        <f t="shared" si="45"/>
        <v>m2</v>
      </c>
      <c r="S95" s="492" t="s">
        <v>789</v>
      </c>
      <c r="AL95" s="472" t="str">
        <f t="shared" si="47"/>
        <v>A1086</v>
      </c>
      <c r="AM95" s="472" t="str">
        <f t="shared" si="48"/>
        <v>Purchase and installation of HDPE liner</v>
      </c>
      <c r="AN95" s="474"/>
      <c r="AO95" s="474"/>
      <c r="AP95" s="474"/>
      <c r="AQ95" s="474"/>
      <c r="AR95" s="474"/>
      <c r="AS95" s="474"/>
      <c r="AT95" s="474"/>
      <c r="AU95" s="474"/>
      <c r="AV95" s="474"/>
      <c r="AW95" s="474"/>
      <c r="AX95" s="474"/>
      <c r="AY95" s="474"/>
      <c r="AZ95" s="474" t="s">
        <v>643</v>
      </c>
      <c r="BA95" s="474"/>
      <c r="BB95" s="474"/>
      <c r="BC95" s="474"/>
      <c r="BD95" s="474"/>
    </row>
    <row r="96" spans="1:56" ht="45" x14ac:dyDescent="0.25">
      <c r="A96" s="686" t="s">
        <v>608</v>
      </c>
      <c r="B96" s="662" t="s">
        <v>291</v>
      </c>
      <c r="C96" s="640" t="s">
        <v>852</v>
      </c>
      <c r="D96" s="674" t="s">
        <v>12</v>
      </c>
      <c r="E96" s="654">
        <v>0</v>
      </c>
      <c r="F96" s="654">
        <v>0</v>
      </c>
      <c r="G96" s="654">
        <v>0</v>
      </c>
      <c r="H96" s="654">
        <v>25334.970260135713</v>
      </c>
      <c r="I96" s="655">
        <f t="shared" si="46"/>
        <v>25334.970260135713</v>
      </c>
      <c r="J96" s="645">
        <f t="shared" si="54"/>
        <v>0</v>
      </c>
      <c r="K96" s="646">
        <f t="shared" si="55"/>
        <v>0</v>
      </c>
      <c r="L96" s="646">
        <f t="shared" si="55"/>
        <v>0</v>
      </c>
      <c r="M96" s="646">
        <f>H96*M$8*M$7</f>
        <v>25334.970260135713</v>
      </c>
      <c r="N96" s="647">
        <f>SUM(J96:M96)</f>
        <v>25334.970260135713</v>
      </c>
      <c r="O96" s="648">
        <f t="shared" si="29"/>
        <v>0.1</v>
      </c>
      <c r="P96" s="649">
        <f>N96+(N96*O96)</f>
        <v>27868.467286149284</v>
      </c>
      <c r="Q96" s="650" t="str">
        <f t="shared" si="45"/>
        <v>Item</v>
      </c>
      <c r="S96" s="492" t="s">
        <v>814</v>
      </c>
      <c r="AL96" s="472" t="str">
        <f t="shared" si="47"/>
        <v>A1087</v>
      </c>
      <c r="AM96" s="472" t="str">
        <f t="shared" si="48"/>
        <v>Design/Quantify/Survey Rehabilitation Structures to Specification Standard</v>
      </c>
      <c r="AN96" s="474" t="s">
        <v>643</v>
      </c>
      <c r="AO96" s="474" t="s">
        <v>643</v>
      </c>
      <c r="AP96" s="474" t="s">
        <v>643</v>
      </c>
      <c r="AQ96" s="474" t="s">
        <v>643</v>
      </c>
      <c r="AR96" s="474"/>
      <c r="AS96" s="474"/>
      <c r="AT96" s="474"/>
      <c r="AU96" s="474"/>
      <c r="AV96" s="474"/>
      <c r="AW96" s="474"/>
      <c r="AX96" s="474"/>
      <c r="AY96" s="474"/>
      <c r="AZ96" s="474"/>
      <c r="BA96" s="474"/>
      <c r="BB96" s="474" t="s">
        <v>643</v>
      </c>
      <c r="BC96" s="474"/>
      <c r="BD96" s="474"/>
    </row>
    <row r="97" spans="1:56" ht="60" x14ac:dyDescent="0.25">
      <c r="A97" s="686" t="s">
        <v>609</v>
      </c>
      <c r="B97" s="662" t="s">
        <v>292</v>
      </c>
      <c r="C97" s="640" t="s">
        <v>698</v>
      </c>
      <c r="D97" s="674" t="s">
        <v>22</v>
      </c>
      <c r="E97" s="654">
        <v>14628.442518397384</v>
      </c>
      <c r="F97" s="654">
        <v>16247.567567567565</v>
      </c>
      <c r="G97" s="654">
        <v>13196.780952380952</v>
      </c>
      <c r="H97" s="654">
        <v>0</v>
      </c>
      <c r="I97" s="655">
        <f t="shared" si="46"/>
        <v>44072.791038345895</v>
      </c>
      <c r="J97" s="645">
        <f t="shared" si="54"/>
        <v>14628.442518397384</v>
      </c>
      <c r="K97" s="646">
        <f t="shared" si="55"/>
        <v>16247.567567567565</v>
      </c>
      <c r="L97" s="646">
        <f t="shared" si="55"/>
        <v>13196.780952380952</v>
      </c>
      <c r="M97" s="646">
        <f>H97*M$8*M$7</f>
        <v>0</v>
      </c>
      <c r="N97" s="647">
        <f>SUM(J97:M97)</f>
        <v>44072.791038345895</v>
      </c>
      <c r="O97" s="648">
        <f t="shared" si="29"/>
        <v>0.1</v>
      </c>
      <c r="P97" s="649">
        <f>N97+(N97*O97)</f>
        <v>48480.070142180484</v>
      </c>
      <c r="Q97" s="650" t="str">
        <f t="shared" si="45"/>
        <v>Ha</v>
      </c>
      <c r="S97" s="492" t="s">
        <v>905</v>
      </c>
      <c r="AL97" s="472" t="str">
        <f t="shared" si="47"/>
        <v>A1088</v>
      </c>
      <c r="AM97" s="472" t="str">
        <f t="shared" si="48"/>
        <v>Construction of lined silt traps/evaporation ponds. (Excludes spillway construction and armouring)</v>
      </c>
      <c r="AN97" s="474"/>
      <c r="AO97" s="474"/>
      <c r="AP97" s="474"/>
      <c r="AQ97" s="474"/>
      <c r="AR97" s="474"/>
      <c r="AS97" s="474"/>
      <c r="AT97" s="474"/>
      <c r="AU97" s="474"/>
      <c r="AV97" s="474"/>
      <c r="AW97" s="474"/>
      <c r="AX97" s="474"/>
      <c r="AY97" s="474"/>
      <c r="AZ97" s="474"/>
      <c r="BA97" s="474"/>
      <c r="BB97" s="474"/>
      <c r="BC97" s="474"/>
      <c r="BD97" s="474"/>
    </row>
    <row r="98" spans="1:56" ht="30" x14ac:dyDescent="0.25">
      <c r="A98" s="686" t="s">
        <v>610</v>
      </c>
      <c r="B98" s="662" t="s">
        <v>292</v>
      </c>
      <c r="C98" s="640" t="s">
        <v>699</v>
      </c>
      <c r="D98" s="674" t="s">
        <v>27</v>
      </c>
      <c r="E98" s="654">
        <v>0.77727818479149635</v>
      </c>
      <c r="F98" s="654">
        <v>0</v>
      </c>
      <c r="G98" s="654">
        <v>0.87045267857142861</v>
      </c>
      <c r="H98" s="654">
        <v>0</v>
      </c>
      <c r="I98" s="655">
        <f t="shared" si="46"/>
        <v>1.6477308633629248</v>
      </c>
      <c r="J98" s="645">
        <f t="shared" si="54"/>
        <v>0.77727818479149635</v>
      </c>
      <c r="K98" s="646">
        <f t="shared" si="55"/>
        <v>0</v>
      </c>
      <c r="L98" s="646">
        <f t="shared" si="55"/>
        <v>0.87045267857142861</v>
      </c>
      <c r="M98" s="646">
        <f>H98*M$8*M$7</f>
        <v>0</v>
      </c>
      <c r="N98" s="647">
        <f>SUM(J98:M98)</f>
        <v>1.6477308633629248</v>
      </c>
      <c r="O98" s="648">
        <f>$O$8</f>
        <v>0.1</v>
      </c>
      <c r="P98" s="649">
        <f>N98+(N98*O98)</f>
        <v>1.8125039496992175</v>
      </c>
      <c r="Q98" s="650" t="str">
        <f>D98</f>
        <v>m3</v>
      </c>
      <c r="S98" s="492" t="s">
        <v>790</v>
      </c>
      <c r="AL98" s="472" t="str">
        <f t="shared" si="47"/>
        <v>A1089</v>
      </c>
      <c r="AM98" s="472" t="str">
        <f t="shared" si="48"/>
        <v>Reinstatement of Bulk Sample pits where material is adjacent to pit</v>
      </c>
      <c r="AN98" s="474" t="s">
        <v>643</v>
      </c>
      <c r="AO98" s="474"/>
      <c r="AP98" s="474"/>
      <c r="AQ98" s="474"/>
      <c r="AR98" s="474"/>
      <c r="AS98" s="474"/>
      <c r="AT98" s="474"/>
      <c r="AU98" s="474"/>
      <c r="AV98" s="474"/>
      <c r="AW98" s="474"/>
      <c r="AX98" s="474"/>
      <c r="AY98" s="474"/>
      <c r="AZ98" s="474"/>
      <c r="BA98" s="474"/>
      <c r="BB98" s="474"/>
      <c r="BC98" s="474"/>
      <c r="BD98" s="474"/>
    </row>
    <row r="99" spans="1:56" ht="42" customHeight="1" x14ac:dyDescent="0.25">
      <c r="A99" s="686" t="s">
        <v>616</v>
      </c>
      <c r="B99" s="651" t="s">
        <v>275</v>
      </c>
      <c r="C99" s="640" t="s">
        <v>701</v>
      </c>
      <c r="D99" s="674" t="s">
        <v>12</v>
      </c>
      <c r="E99" s="654">
        <v>0</v>
      </c>
      <c r="F99" s="654">
        <v>0</v>
      </c>
      <c r="G99" s="654">
        <v>0</v>
      </c>
      <c r="H99" s="654">
        <v>6531.6440542697537</v>
      </c>
      <c r="I99" s="655">
        <f t="shared" si="46"/>
        <v>6531.6440542697537</v>
      </c>
      <c r="J99" s="645">
        <f t="shared" ref="J99:J108" si="56">E99*J$8*J$7</f>
        <v>0</v>
      </c>
      <c r="K99" s="646">
        <f t="shared" ref="K99:K108" si="57">F99*K$8*K$7</f>
        <v>0</v>
      </c>
      <c r="L99" s="646">
        <f t="shared" ref="L99:L108" si="58">G99*L$8*L$7</f>
        <v>0</v>
      </c>
      <c r="M99" s="646">
        <f t="shared" ref="M99:M108" si="59">H99*M$8*M$7</f>
        <v>6531.6440542697537</v>
      </c>
      <c r="N99" s="647">
        <f t="shared" ref="N99:N108" si="60">SUM(J99:M99)</f>
        <v>6531.6440542697537</v>
      </c>
      <c r="O99" s="648">
        <f t="shared" ref="O99:O145" si="61">$O$8</f>
        <v>0.1</v>
      </c>
      <c r="P99" s="649">
        <f t="shared" ref="P99:P100" si="62">N99+(N99*O99)</f>
        <v>7184.8084596967292</v>
      </c>
      <c r="Q99" s="650" t="str">
        <f t="shared" ref="Q99:Q108" si="63">D99</f>
        <v>Item</v>
      </c>
      <c r="S99" s="492" t="s">
        <v>791</v>
      </c>
      <c r="AL99" s="472" t="str">
        <f t="shared" si="47"/>
        <v>A1090</v>
      </c>
      <c r="AM99" s="472" t="str">
        <f t="shared" si="48"/>
        <v>Disconnect and terminate services at remote areas  (i.e., pump stations, remote workshops, sewage treatment plant, etc.)</v>
      </c>
      <c r="AN99" s="474"/>
      <c r="AO99" s="474"/>
      <c r="AP99" s="474"/>
      <c r="AQ99" s="474"/>
      <c r="AR99" s="474"/>
      <c r="AS99" s="474"/>
      <c r="AT99" s="474"/>
      <c r="AU99" s="474"/>
      <c r="AV99" s="474"/>
      <c r="AW99" s="474"/>
      <c r="AX99" s="474"/>
      <c r="AY99" s="474"/>
      <c r="AZ99" s="474"/>
      <c r="BA99" s="474"/>
      <c r="BB99" s="474"/>
      <c r="BC99" s="474"/>
      <c r="BD99" s="474"/>
    </row>
    <row r="100" spans="1:56" ht="42" customHeight="1" x14ac:dyDescent="0.25">
      <c r="A100" s="686" t="s">
        <v>617</v>
      </c>
      <c r="B100" s="662" t="s">
        <v>275</v>
      </c>
      <c r="C100" s="640" t="s">
        <v>702</v>
      </c>
      <c r="D100" s="674" t="s">
        <v>634</v>
      </c>
      <c r="E100" s="654">
        <v>0</v>
      </c>
      <c r="F100" s="654">
        <v>0</v>
      </c>
      <c r="G100" s="654">
        <v>0</v>
      </c>
      <c r="H100" s="654">
        <v>100.48683160415005</v>
      </c>
      <c r="I100" s="655">
        <f t="shared" si="46"/>
        <v>100.48683160415005</v>
      </c>
      <c r="J100" s="645">
        <f t="shared" si="56"/>
        <v>0</v>
      </c>
      <c r="K100" s="646">
        <f t="shared" si="57"/>
        <v>0</v>
      </c>
      <c r="L100" s="646">
        <f t="shared" si="58"/>
        <v>0</v>
      </c>
      <c r="M100" s="646">
        <f t="shared" si="59"/>
        <v>100.48683160415005</v>
      </c>
      <c r="N100" s="647">
        <f t="shared" si="60"/>
        <v>100.48683160415005</v>
      </c>
      <c r="O100" s="648">
        <f t="shared" si="61"/>
        <v>0.1</v>
      </c>
      <c r="P100" s="649">
        <f t="shared" si="62"/>
        <v>110.53551476456506</v>
      </c>
      <c r="Q100" s="650" t="str">
        <f t="shared" si="63"/>
        <v>m2/floor</v>
      </c>
      <c r="S100" s="492" t="s">
        <v>792</v>
      </c>
      <c r="AL100" s="472" t="str">
        <f t="shared" si="47"/>
        <v>A1091</v>
      </c>
      <c r="AM100" s="472" t="str">
        <f t="shared" si="48"/>
        <v>Demolish and remove light industrial buildings - and disposal on-site/locally</v>
      </c>
      <c r="AN100" s="474"/>
      <c r="AO100" s="474"/>
      <c r="AP100" s="474"/>
      <c r="AQ100" s="474"/>
      <c r="AR100" s="474"/>
      <c r="AS100" s="474"/>
      <c r="AT100" s="474"/>
      <c r="AU100" s="474"/>
      <c r="AV100" s="474"/>
      <c r="AW100" s="474"/>
      <c r="AX100" s="474"/>
      <c r="AY100" s="474"/>
      <c r="AZ100" s="474"/>
      <c r="BA100" s="474"/>
      <c r="BB100" s="474"/>
      <c r="BC100" s="474"/>
      <c r="BD100" s="474"/>
    </row>
    <row r="101" spans="1:56" ht="42" customHeight="1" x14ac:dyDescent="0.25">
      <c r="A101" s="686" t="s">
        <v>618</v>
      </c>
      <c r="B101" s="662" t="s">
        <v>275</v>
      </c>
      <c r="C101" s="640" t="s">
        <v>703</v>
      </c>
      <c r="D101" s="674" t="s">
        <v>634</v>
      </c>
      <c r="E101" s="654">
        <v>0</v>
      </c>
      <c r="F101" s="654">
        <v>0</v>
      </c>
      <c r="G101" s="654">
        <v>0</v>
      </c>
      <c r="H101" s="654">
        <v>145.14764565043896</v>
      </c>
      <c r="I101" s="655">
        <f t="shared" si="46"/>
        <v>145.14764565043896</v>
      </c>
      <c r="J101" s="645">
        <f t="shared" si="56"/>
        <v>0</v>
      </c>
      <c r="K101" s="646">
        <f t="shared" si="57"/>
        <v>0</v>
      </c>
      <c r="L101" s="646">
        <f t="shared" si="58"/>
        <v>0</v>
      </c>
      <c r="M101" s="646">
        <f t="shared" si="59"/>
        <v>145.14764565043896</v>
      </c>
      <c r="N101" s="647">
        <f t="shared" si="60"/>
        <v>145.14764565043896</v>
      </c>
      <c r="O101" s="648">
        <f t="shared" si="61"/>
        <v>0.1</v>
      </c>
      <c r="P101" s="649">
        <f t="shared" ref="P101:P102" si="64">N101+(N101*O101)</f>
        <v>159.66241021548285</v>
      </c>
      <c r="Q101" s="650" t="str">
        <f t="shared" si="63"/>
        <v>m2/floor</v>
      </c>
      <c r="S101" s="492" t="s">
        <v>792</v>
      </c>
      <c r="AL101" s="472" t="str">
        <f t="shared" si="47"/>
        <v>A1092</v>
      </c>
      <c r="AM101" s="472" t="str">
        <f t="shared" si="48"/>
        <v>Demolish and remove industrial buildings and disposal on-site/locally</v>
      </c>
      <c r="AN101" s="474"/>
      <c r="AO101" s="474"/>
      <c r="AP101" s="474"/>
      <c r="AQ101" s="474"/>
      <c r="AR101" s="474"/>
      <c r="AS101" s="474"/>
      <c r="AT101" s="474"/>
      <c r="AU101" s="474"/>
      <c r="AV101" s="474"/>
      <c r="AW101" s="474"/>
      <c r="AX101" s="474"/>
      <c r="AY101" s="474"/>
      <c r="AZ101" s="474"/>
      <c r="BA101" s="474"/>
      <c r="BB101" s="474"/>
      <c r="BC101" s="474"/>
      <c r="BD101" s="474"/>
    </row>
    <row r="102" spans="1:56" ht="42" customHeight="1" x14ac:dyDescent="0.25">
      <c r="A102" s="686" t="s">
        <v>619</v>
      </c>
      <c r="B102" s="662" t="s">
        <v>275</v>
      </c>
      <c r="C102" s="640" t="s">
        <v>704</v>
      </c>
      <c r="D102" s="674" t="s">
        <v>683</v>
      </c>
      <c r="E102" s="654">
        <v>0</v>
      </c>
      <c r="F102" s="654">
        <v>0</v>
      </c>
      <c r="G102" s="654">
        <v>0</v>
      </c>
      <c r="H102" s="654">
        <v>47.45211492418197</v>
      </c>
      <c r="I102" s="655">
        <f t="shared" si="46"/>
        <v>47.45211492418197</v>
      </c>
      <c r="J102" s="645">
        <f t="shared" si="56"/>
        <v>0</v>
      </c>
      <c r="K102" s="646">
        <f t="shared" si="57"/>
        <v>0</v>
      </c>
      <c r="L102" s="646">
        <f t="shared" si="58"/>
        <v>0</v>
      </c>
      <c r="M102" s="646">
        <f t="shared" si="59"/>
        <v>47.45211492418197</v>
      </c>
      <c r="N102" s="647">
        <f t="shared" si="60"/>
        <v>47.45211492418197</v>
      </c>
      <c r="O102" s="648">
        <f t="shared" si="61"/>
        <v>0.1</v>
      </c>
      <c r="P102" s="649">
        <f t="shared" si="64"/>
        <v>52.19732641660017</v>
      </c>
      <c r="Q102" s="650" t="str">
        <f t="shared" si="63"/>
        <v>m</v>
      </c>
      <c r="S102" s="492" t="s">
        <v>793</v>
      </c>
      <c r="AL102" s="472" t="str">
        <f t="shared" si="47"/>
        <v>A1093</v>
      </c>
      <c r="AM102" s="472" t="str">
        <f t="shared" si="48"/>
        <v>Remove underground pipe and dispose onsite - Various pipe diameter and depths</v>
      </c>
      <c r="AN102" s="474"/>
      <c r="AO102" s="474"/>
      <c r="AP102" s="474"/>
      <c r="AQ102" s="474"/>
      <c r="AR102" s="474"/>
      <c r="AS102" s="474"/>
      <c r="AT102" s="474"/>
      <c r="AU102" s="474"/>
      <c r="AV102" s="474"/>
      <c r="AW102" s="474"/>
      <c r="AX102" s="474"/>
      <c r="AY102" s="474"/>
      <c r="AZ102" s="474"/>
      <c r="BA102" s="474"/>
      <c r="BB102" s="474"/>
      <c r="BC102" s="474"/>
      <c r="BD102" s="474"/>
    </row>
    <row r="103" spans="1:56" ht="42" customHeight="1" x14ac:dyDescent="0.25">
      <c r="A103" s="686" t="s">
        <v>620</v>
      </c>
      <c r="B103" s="662" t="s">
        <v>275</v>
      </c>
      <c r="C103" s="640" t="s">
        <v>705</v>
      </c>
      <c r="D103" s="674" t="s">
        <v>683</v>
      </c>
      <c r="E103" s="654">
        <v>4.112738817439749</v>
      </c>
      <c r="F103" s="654">
        <v>0</v>
      </c>
      <c r="G103" s="654">
        <v>2.1761316964285715</v>
      </c>
      <c r="H103" s="654">
        <v>0</v>
      </c>
      <c r="I103" s="655">
        <f t="shared" si="46"/>
        <v>6.2888705138683205</v>
      </c>
      <c r="J103" s="645">
        <f t="shared" si="56"/>
        <v>4.112738817439749</v>
      </c>
      <c r="K103" s="646">
        <f t="shared" si="57"/>
        <v>0</v>
      </c>
      <c r="L103" s="646">
        <f t="shared" si="58"/>
        <v>2.1761316964285715</v>
      </c>
      <c r="M103" s="646">
        <f t="shared" si="59"/>
        <v>0</v>
      </c>
      <c r="N103" s="647">
        <f t="shared" si="60"/>
        <v>6.2888705138683205</v>
      </c>
      <c r="O103" s="648">
        <f t="shared" si="61"/>
        <v>0.1</v>
      </c>
      <c r="P103" s="649">
        <f t="shared" ref="P103" si="65">N103+(N103*O103)</f>
        <v>6.9177575652551528</v>
      </c>
      <c r="Q103" s="650" t="str">
        <f t="shared" si="63"/>
        <v>m</v>
      </c>
      <c r="S103" s="492" t="s">
        <v>794</v>
      </c>
      <c r="AL103" s="472" t="str">
        <f t="shared" si="47"/>
        <v>A1094</v>
      </c>
      <c r="AM103" s="472" t="str">
        <f t="shared" si="48"/>
        <v>Pipework - demolish and remove above ground pipework - plastic</v>
      </c>
      <c r="AN103" s="474"/>
      <c r="AO103" s="474"/>
      <c r="AP103" s="474"/>
      <c r="AQ103" s="474"/>
      <c r="AR103" s="474"/>
      <c r="AS103" s="474"/>
      <c r="AT103" s="474"/>
      <c r="AU103" s="474"/>
      <c r="AV103" s="474"/>
      <c r="AW103" s="474"/>
      <c r="AX103" s="474"/>
      <c r="AY103" s="474"/>
      <c r="AZ103" s="474"/>
      <c r="BA103" s="474"/>
      <c r="BB103" s="474"/>
      <c r="BC103" s="474"/>
      <c r="BD103" s="474"/>
    </row>
    <row r="104" spans="1:56" ht="42" customHeight="1" x14ac:dyDescent="0.25">
      <c r="A104" s="686" t="s">
        <v>621</v>
      </c>
      <c r="B104" s="662" t="s">
        <v>275</v>
      </c>
      <c r="C104" s="640" t="s">
        <v>706</v>
      </c>
      <c r="D104" s="674" t="s">
        <v>683</v>
      </c>
      <c r="E104" s="654">
        <v>11.187359237350133</v>
      </c>
      <c r="F104" s="654">
        <v>0</v>
      </c>
      <c r="G104" s="654">
        <v>8.9717425595238094</v>
      </c>
      <c r="H104" s="654">
        <v>0</v>
      </c>
      <c r="I104" s="655">
        <f t="shared" si="46"/>
        <v>20.159101796873941</v>
      </c>
      <c r="J104" s="645">
        <f t="shared" si="56"/>
        <v>11.187359237350133</v>
      </c>
      <c r="K104" s="646">
        <f t="shared" si="57"/>
        <v>0</v>
      </c>
      <c r="L104" s="646">
        <f t="shared" si="58"/>
        <v>8.9717425595238094</v>
      </c>
      <c r="M104" s="646">
        <f t="shared" si="59"/>
        <v>0</v>
      </c>
      <c r="N104" s="647">
        <f t="shared" si="60"/>
        <v>20.159101796873941</v>
      </c>
      <c r="O104" s="648">
        <f t="shared" si="61"/>
        <v>0.1</v>
      </c>
      <c r="P104" s="649">
        <f t="shared" ref="P104" si="66">N104+(N104*O104)</f>
        <v>22.175011976561336</v>
      </c>
      <c r="Q104" s="650" t="str">
        <f t="shared" si="63"/>
        <v>m</v>
      </c>
      <c r="S104" s="492" t="s">
        <v>795</v>
      </c>
      <c r="AL104" s="472" t="str">
        <f t="shared" si="47"/>
        <v>A1095</v>
      </c>
      <c r="AM104" s="472" t="str">
        <f t="shared" si="48"/>
        <v>Pipework - demolish and remove above ground pipework - metal</v>
      </c>
      <c r="AN104" s="474"/>
      <c r="AO104" s="474"/>
      <c r="AP104" s="474"/>
      <c r="AQ104" s="474"/>
      <c r="AR104" s="474"/>
      <c r="AS104" s="474"/>
      <c r="AT104" s="474"/>
      <c r="AU104" s="474"/>
      <c r="AV104" s="474"/>
      <c r="AW104" s="474"/>
      <c r="AX104" s="474"/>
      <c r="AY104" s="474"/>
      <c r="AZ104" s="474"/>
      <c r="BA104" s="474"/>
      <c r="BB104" s="474"/>
      <c r="BC104" s="474"/>
      <c r="BD104" s="474"/>
    </row>
    <row r="105" spans="1:56" ht="75" x14ac:dyDescent="0.25">
      <c r="A105" s="686" t="s">
        <v>622</v>
      </c>
      <c r="B105" s="662" t="s">
        <v>291</v>
      </c>
      <c r="C105" s="640" t="s">
        <v>441</v>
      </c>
      <c r="D105" s="674" t="s">
        <v>12</v>
      </c>
      <c r="E105" s="654">
        <v>0</v>
      </c>
      <c r="F105" s="654">
        <v>0</v>
      </c>
      <c r="G105" s="654">
        <v>0</v>
      </c>
      <c r="H105" s="654">
        <v>25334.970260135713</v>
      </c>
      <c r="I105" s="655">
        <f t="shared" si="46"/>
        <v>25334.970260135713</v>
      </c>
      <c r="J105" s="645">
        <f t="shared" si="56"/>
        <v>0</v>
      </c>
      <c r="K105" s="646">
        <f t="shared" si="57"/>
        <v>0</v>
      </c>
      <c r="L105" s="646">
        <f t="shared" si="58"/>
        <v>0</v>
      </c>
      <c r="M105" s="646">
        <f t="shared" si="59"/>
        <v>25334.970260135713</v>
      </c>
      <c r="N105" s="647">
        <f t="shared" si="60"/>
        <v>25334.970260135713</v>
      </c>
      <c r="O105" s="648">
        <f t="shared" si="61"/>
        <v>0.1</v>
      </c>
      <c r="P105" s="649">
        <f t="shared" ref="P105:P106" si="67">N105+(N105*O105)</f>
        <v>27868.467286149284</v>
      </c>
      <c r="Q105" s="650" t="str">
        <f t="shared" si="63"/>
        <v>Item</v>
      </c>
      <c r="S105" s="492" t="s">
        <v>862</v>
      </c>
      <c r="AL105" s="472" t="str">
        <f t="shared" si="47"/>
        <v>A1096</v>
      </c>
      <c r="AM105" s="472" t="str">
        <f t="shared" si="48"/>
        <v>To Identify and Characterise the material in the heap leach including the extent of flushing and design of the cover</v>
      </c>
      <c r="AN105" s="474"/>
      <c r="AO105" s="474"/>
      <c r="AP105" s="474"/>
      <c r="AQ105" s="474"/>
      <c r="AR105" s="474"/>
      <c r="AS105" s="474"/>
      <c r="AT105" s="474" t="s">
        <v>643</v>
      </c>
      <c r="AU105" s="474"/>
      <c r="AV105" s="474"/>
      <c r="AW105" s="474"/>
      <c r="AX105" s="474"/>
      <c r="AY105" s="474"/>
      <c r="AZ105" s="474"/>
      <c r="BA105" s="474"/>
      <c r="BB105" s="474"/>
      <c r="BC105" s="474"/>
      <c r="BD105" s="474"/>
    </row>
    <row r="106" spans="1:56" ht="42" customHeight="1" x14ac:dyDescent="0.25">
      <c r="A106" s="686" t="s">
        <v>623</v>
      </c>
      <c r="B106" s="662" t="s">
        <v>275</v>
      </c>
      <c r="C106" s="640" t="s">
        <v>707</v>
      </c>
      <c r="D106" s="674" t="s">
        <v>686</v>
      </c>
      <c r="E106" s="654">
        <v>20.73810351297816</v>
      </c>
      <c r="F106" s="654">
        <v>0</v>
      </c>
      <c r="G106" s="654">
        <v>37.537144841269843</v>
      </c>
      <c r="H106" s="654">
        <v>0</v>
      </c>
      <c r="I106" s="655">
        <f t="shared" si="46"/>
        <v>58.275248354248006</v>
      </c>
      <c r="J106" s="645">
        <f t="shared" si="56"/>
        <v>20.73810351297816</v>
      </c>
      <c r="K106" s="646">
        <f t="shared" si="57"/>
        <v>0</v>
      </c>
      <c r="L106" s="646">
        <f t="shared" si="58"/>
        <v>37.537144841269843</v>
      </c>
      <c r="M106" s="646">
        <f t="shared" si="59"/>
        <v>0</v>
      </c>
      <c r="N106" s="647">
        <f t="shared" si="60"/>
        <v>58.275248354248006</v>
      </c>
      <c r="O106" s="648">
        <f t="shared" si="61"/>
        <v>0.1</v>
      </c>
      <c r="P106" s="649">
        <f t="shared" si="67"/>
        <v>64.102773189672803</v>
      </c>
      <c r="Q106" s="650" t="str">
        <f t="shared" si="63"/>
        <v>lin m</v>
      </c>
      <c r="S106" s="492" t="s">
        <v>796</v>
      </c>
      <c r="AL106" s="472" t="str">
        <f t="shared" si="47"/>
        <v>A1097</v>
      </c>
      <c r="AM106" s="472" t="str">
        <f t="shared" si="48"/>
        <v>Remove rail loop and spur, sleepers, ballast etc. and dispose on-site</v>
      </c>
      <c r="AN106" s="474"/>
      <c r="AO106" s="474"/>
      <c r="AP106" s="474"/>
      <c r="AQ106" s="474"/>
      <c r="AR106" s="474"/>
      <c r="AS106" s="474"/>
      <c r="AT106" s="474"/>
      <c r="AU106" s="474" t="s">
        <v>643</v>
      </c>
      <c r="AV106" s="474"/>
      <c r="AW106" s="474"/>
      <c r="AX106" s="474"/>
      <c r="AY106" s="474"/>
      <c r="AZ106" s="474"/>
      <c r="BA106" s="474"/>
      <c r="BB106" s="474"/>
      <c r="BC106" s="474"/>
      <c r="BD106" s="474"/>
    </row>
    <row r="107" spans="1:56" ht="42" customHeight="1" x14ac:dyDescent="0.25">
      <c r="A107" s="686" t="s">
        <v>624</v>
      </c>
      <c r="B107" s="662" t="s">
        <v>275</v>
      </c>
      <c r="C107" s="640" t="s">
        <v>708</v>
      </c>
      <c r="D107" s="674" t="s">
        <v>236</v>
      </c>
      <c r="E107" s="654">
        <v>55.315785564664196</v>
      </c>
      <c r="F107" s="654">
        <v>0</v>
      </c>
      <c r="G107" s="654">
        <v>214.32652380952379</v>
      </c>
      <c r="H107" s="654">
        <v>0</v>
      </c>
      <c r="I107" s="655">
        <f t="shared" si="46"/>
        <v>269.64230937418802</v>
      </c>
      <c r="J107" s="645">
        <f t="shared" si="56"/>
        <v>55.315785564664196</v>
      </c>
      <c r="K107" s="646">
        <f t="shared" si="57"/>
        <v>0</v>
      </c>
      <c r="L107" s="646">
        <f t="shared" si="58"/>
        <v>214.32652380952379</v>
      </c>
      <c r="M107" s="646">
        <f t="shared" si="59"/>
        <v>0</v>
      </c>
      <c r="N107" s="647">
        <f t="shared" si="60"/>
        <v>269.64230937418802</v>
      </c>
      <c r="O107" s="648">
        <f t="shared" si="61"/>
        <v>0.1</v>
      </c>
      <c r="P107" s="649">
        <f t="shared" ref="P107:P108" si="68">N107+(N107*O107)</f>
        <v>296.60654031160681</v>
      </c>
      <c r="Q107" s="650" t="str">
        <f t="shared" si="63"/>
        <v>m2</v>
      </c>
      <c r="S107" s="492" t="s">
        <v>797</v>
      </c>
      <c r="AL107" s="472" t="str">
        <f t="shared" si="47"/>
        <v>A1098</v>
      </c>
      <c r="AM107" s="472" t="str">
        <f t="shared" si="48"/>
        <v>Remove train loading facilities and dispose on-site</v>
      </c>
      <c r="AN107" s="474"/>
      <c r="AO107" s="474"/>
      <c r="AP107" s="474"/>
      <c r="AQ107" s="474"/>
      <c r="AR107" s="474"/>
      <c r="AS107" s="474"/>
      <c r="AT107" s="474"/>
      <c r="AU107" s="474" t="s">
        <v>643</v>
      </c>
      <c r="AV107" s="474"/>
      <c r="AW107" s="474"/>
      <c r="AX107" s="474"/>
      <c r="AY107" s="474"/>
      <c r="AZ107" s="474"/>
      <c r="BA107" s="474"/>
      <c r="BB107" s="474"/>
      <c r="BC107" s="474"/>
      <c r="BD107" s="474"/>
    </row>
    <row r="108" spans="1:56" ht="42" customHeight="1" x14ac:dyDescent="0.25">
      <c r="A108" s="686" t="s">
        <v>625</v>
      </c>
      <c r="B108" s="662" t="s">
        <v>292</v>
      </c>
      <c r="C108" s="640" t="s">
        <v>709</v>
      </c>
      <c r="D108" s="674" t="s">
        <v>22</v>
      </c>
      <c r="E108" s="654">
        <v>2087.0717563368767</v>
      </c>
      <c r="F108" s="654">
        <v>0</v>
      </c>
      <c r="G108" s="654">
        <v>609.31687499999998</v>
      </c>
      <c r="H108" s="654">
        <v>0</v>
      </c>
      <c r="I108" s="655">
        <f t="shared" si="46"/>
        <v>2696.3886313368766</v>
      </c>
      <c r="J108" s="645">
        <f t="shared" si="56"/>
        <v>2087.0717563368767</v>
      </c>
      <c r="K108" s="646">
        <f t="shared" si="57"/>
        <v>0</v>
      </c>
      <c r="L108" s="646">
        <f t="shared" si="58"/>
        <v>609.31687499999998</v>
      </c>
      <c r="M108" s="646">
        <f t="shared" si="59"/>
        <v>0</v>
      </c>
      <c r="N108" s="647">
        <f t="shared" si="60"/>
        <v>2696.3886313368766</v>
      </c>
      <c r="O108" s="648">
        <f t="shared" si="61"/>
        <v>0.1</v>
      </c>
      <c r="P108" s="649">
        <f t="shared" si="68"/>
        <v>2966.0274944705643</v>
      </c>
      <c r="Q108" s="650" t="str">
        <f t="shared" si="63"/>
        <v>Ha</v>
      </c>
      <c r="S108" s="492" t="s">
        <v>798</v>
      </c>
      <c r="AL108" s="472" t="str">
        <f t="shared" si="47"/>
        <v>A1099</v>
      </c>
      <c r="AM108" s="472" t="str">
        <f t="shared" si="48"/>
        <v>Reshape rail spur and load out areas - does not include revegetation</v>
      </c>
      <c r="AN108" s="474"/>
      <c r="AO108" s="474"/>
      <c r="AP108" s="474"/>
      <c r="AQ108" s="474"/>
      <c r="AR108" s="474"/>
      <c r="AS108" s="474"/>
      <c r="AT108" s="474"/>
      <c r="AU108" s="474" t="s">
        <v>643</v>
      </c>
      <c r="AV108" s="474"/>
      <c r="AW108" s="474"/>
      <c r="AX108" s="474"/>
      <c r="AY108" s="474"/>
      <c r="AZ108" s="474"/>
      <c r="BA108" s="474"/>
      <c r="BB108" s="474"/>
      <c r="BC108" s="474"/>
      <c r="BD108" s="474"/>
    </row>
    <row r="109" spans="1:56" ht="42" customHeight="1" x14ac:dyDescent="0.25">
      <c r="A109" s="686" t="s">
        <v>626</v>
      </c>
      <c r="B109" s="662" t="s">
        <v>293</v>
      </c>
      <c r="C109" s="640" t="s">
        <v>710</v>
      </c>
      <c r="D109" s="674" t="s">
        <v>22</v>
      </c>
      <c r="E109" s="654">
        <v>435.85404524393573</v>
      </c>
      <c r="F109" s="654">
        <v>158.66745283018869</v>
      </c>
      <c r="G109" s="654">
        <v>203.105625</v>
      </c>
      <c r="H109" s="654">
        <v>0</v>
      </c>
      <c r="I109" s="655">
        <f t="shared" si="46"/>
        <v>797.62712307412448</v>
      </c>
      <c r="J109" s="645">
        <f t="shared" ref="J109:J113" si="69">E109*J$8*J$7</f>
        <v>435.85404524393573</v>
      </c>
      <c r="K109" s="646">
        <f t="shared" ref="K109:K113" si="70">F109*K$8*K$7</f>
        <v>158.66745283018869</v>
      </c>
      <c r="L109" s="646">
        <f t="shared" ref="L109:L113" si="71">G109*L$8*L$7</f>
        <v>203.105625</v>
      </c>
      <c r="M109" s="646">
        <f t="shared" ref="M109:M113" si="72">H109*M$8*M$7</f>
        <v>0</v>
      </c>
      <c r="N109" s="647">
        <f t="shared" ref="N109:N113" si="73">SUM(J109:M109)</f>
        <v>797.62712307412448</v>
      </c>
      <c r="O109" s="648">
        <f t="shared" si="61"/>
        <v>0.1</v>
      </c>
      <c r="P109" s="649">
        <f t="shared" ref="P109:P110" si="74">N109+(N109*O109)</f>
        <v>877.38983538153695</v>
      </c>
      <c r="Q109" s="650" t="str">
        <f t="shared" ref="Q109:Q112" si="75">D109</f>
        <v>Ha</v>
      </c>
      <c r="S109" s="492" t="s">
        <v>799</v>
      </c>
      <c r="AL109" s="472" t="str">
        <f t="shared" si="47"/>
        <v>A1100</v>
      </c>
      <c r="AM109" s="472" t="str">
        <f t="shared" si="48"/>
        <v>Purchase and single application of ground ameliorants (e.g. gypsum)</v>
      </c>
      <c r="AN109" s="474" t="s">
        <v>643</v>
      </c>
      <c r="AO109" s="474" t="s">
        <v>643</v>
      </c>
      <c r="AP109" s="474" t="s">
        <v>643</v>
      </c>
      <c r="AQ109" s="474" t="s">
        <v>643</v>
      </c>
      <c r="AR109" s="474" t="s">
        <v>643</v>
      </c>
      <c r="AS109" s="474" t="s">
        <v>643</v>
      </c>
      <c r="AT109" s="474" t="s">
        <v>643</v>
      </c>
      <c r="AU109" s="474" t="s">
        <v>643</v>
      </c>
      <c r="AV109" s="474"/>
      <c r="AW109" s="474" t="s">
        <v>643</v>
      </c>
      <c r="AX109" s="474" t="s">
        <v>643</v>
      </c>
      <c r="AY109" s="474"/>
      <c r="AZ109" s="474" t="s">
        <v>643</v>
      </c>
      <c r="BA109" s="474"/>
      <c r="BB109" s="474" t="s">
        <v>643</v>
      </c>
      <c r="BC109" s="474"/>
      <c r="BD109" s="474"/>
    </row>
    <row r="110" spans="1:56" ht="42" customHeight="1" x14ac:dyDescent="0.25">
      <c r="A110" s="686" t="s">
        <v>627</v>
      </c>
      <c r="B110" s="662" t="s">
        <v>293</v>
      </c>
      <c r="C110" s="640" t="s">
        <v>711</v>
      </c>
      <c r="D110" s="674" t="s">
        <v>22</v>
      </c>
      <c r="E110" s="654">
        <v>0</v>
      </c>
      <c r="F110" s="654">
        <v>1613.1982075471699</v>
      </c>
      <c r="G110" s="654">
        <v>0</v>
      </c>
      <c r="H110" s="654">
        <v>0</v>
      </c>
      <c r="I110" s="655">
        <f t="shared" si="46"/>
        <v>1613.1982075471699</v>
      </c>
      <c r="J110" s="645">
        <f t="shared" si="69"/>
        <v>0</v>
      </c>
      <c r="K110" s="646">
        <f t="shared" si="70"/>
        <v>1613.1982075471699</v>
      </c>
      <c r="L110" s="646">
        <f t="shared" si="71"/>
        <v>0</v>
      </c>
      <c r="M110" s="646">
        <f t="shared" si="72"/>
        <v>0</v>
      </c>
      <c r="N110" s="647">
        <f t="shared" si="73"/>
        <v>1613.1982075471699</v>
      </c>
      <c r="O110" s="648">
        <f t="shared" si="61"/>
        <v>0.1</v>
      </c>
      <c r="P110" s="649">
        <f t="shared" si="74"/>
        <v>1774.5180283018869</v>
      </c>
      <c r="Q110" s="650" t="str">
        <f t="shared" si="75"/>
        <v>Ha</v>
      </c>
      <c r="S110" s="492" t="s">
        <v>800</v>
      </c>
      <c r="AL110" s="472" t="str">
        <f t="shared" si="47"/>
        <v>A1101</v>
      </c>
      <c r="AM110" s="472" t="str">
        <f t="shared" si="48"/>
        <v>The purchase only of non-native pasture grasses</v>
      </c>
      <c r="AN110" s="474" t="s">
        <v>643</v>
      </c>
      <c r="AO110" s="474" t="s">
        <v>643</v>
      </c>
      <c r="AP110" s="474" t="s">
        <v>643</v>
      </c>
      <c r="AQ110" s="474" t="s">
        <v>643</v>
      </c>
      <c r="AR110" s="474" t="s">
        <v>643</v>
      </c>
      <c r="AS110" s="474" t="s">
        <v>643</v>
      </c>
      <c r="AT110" s="474" t="s">
        <v>643</v>
      </c>
      <c r="AU110" s="474" t="s">
        <v>643</v>
      </c>
      <c r="AV110" s="474"/>
      <c r="AW110" s="474" t="s">
        <v>643</v>
      </c>
      <c r="AX110" s="474" t="s">
        <v>643</v>
      </c>
      <c r="AY110" s="474"/>
      <c r="AZ110" s="474" t="s">
        <v>643</v>
      </c>
      <c r="BA110" s="474"/>
      <c r="BB110" s="474" t="s">
        <v>643</v>
      </c>
      <c r="BC110" s="474"/>
      <c r="BD110" s="474"/>
    </row>
    <row r="111" spans="1:56" ht="42" customHeight="1" x14ac:dyDescent="0.25">
      <c r="A111" s="686" t="s">
        <v>628</v>
      </c>
      <c r="B111" s="662" t="s">
        <v>293</v>
      </c>
      <c r="C111" s="640" t="s">
        <v>712</v>
      </c>
      <c r="D111" s="674" t="s">
        <v>22</v>
      </c>
      <c r="E111" s="654">
        <v>0</v>
      </c>
      <c r="F111" s="654">
        <v>3127.1561320754722</v>
      </c>
      <c r="G111" s="654">
        <v>0</v>
      </c>
      <c r="H111" s="654">
        <v>0</v>
      </c>
      <c r="I111" s="655">
        <f t="shared" si="46"/>
        <v>3127.1561320754722</v>
      </c>
      <c r="J111" s="645">
        <f t="shared" si="69"/>
        <v>0</v>
      </c>
      <c r="K111" s="646">
        <f t="shared" si="70"/>
        <v>3127.1561320754722</v>
      </c>
      <c r="L111" s="646">
        <f t="shared" si="71"/>
        <v>0</v>
      </c>
      <c r="M111" s="646">
        <f t="shared" si="72"/>
        <v>0</v>
      </c>
      <c r="N111" s="647">
        <f t="shared" si="73"/>
        <v>3127.1561320754722</v>
      </c>
      <c r="O111" s="648">
        <f t="shared" si="61"/>
        <v>0.1</v>
      </c>
      <c r="P111" s="649">
        <f t="shared" ref="P111:P112" si="76">N111+(N111*O111)</f>
        <v>3439.8717452830197</v>
      </c>
      <c r="Q111" s="650" t="str">
        <f t="shared" si="75"/>
        <v>Ha</v>
      </c>
      <c r="S111" s="492" t="s">
        <v>801</v>
      </c>
      <c r="AL111" s="472" t="str">
        <f t="shared" si="47"/>
        <v>A1102</v>
      </c>
      <c r="AM111" s="472" t="str">
        <f t="shared" si="48"/>
        <v>The purchase only of general native seed mix</v>
      </c>
      <c r="AN111" s="474" t="s">
        <v>643</v>
      </c>
      <c r="AO111" s="474" t="s">
        <v>643</v>
      </c>
      <c r="AP111" s="474" t="s">
        <v>643</v>
      </c>
      <c r="AQ111" s="474" t="s">
        <v>643</v>
      </c>
      <c r="AR111" s="474" t="s">
        <v>643</v>
      </c>
      <c r="AS111" s="474" t="s">
        <v>643</v>
      </c>
      <c r="AT111" s="474" t="s">
        <v>643</v>
      </c>
      <c r="AU111" s="474" t="s">
        <v>643</v>
      </c>
      <c r="AV111" s="474"/>
      <c r="AW111" s="474" t="s">
        <v>643</v>
      </c>
      <c r="AX111" s="474" t="s">
        <v>643</v>
      </c>
      <c r="AY111" s="474"/>
      <c r="AZ111" s="474" t="s">
        <v>643</v>
      </c>
      <c r="BA111" s="474"/>
      <c r="BB111" s="474" t="s">
        <v>643</v>
      </c>
      <c r="BC111" s="474"/>
      <c r="BD111" s="474"/>
    </row>
    <row r="112" spans="1:56" ht="42" customHeight="1" x14ac:dyDescent="0.25">
      <c r="A112" s="686" t="s">
        <v>629</v>
      </c>
      <c r="B112" s="662" t="s">
        <v>293</v>
      </c>
      <c r="C112" s="640" t="s">
        <v>713</v>
      </c>
      <c r="D112" s="674" t="s">
        <v>22</v>
      </c>
      <c r="E112" s="654">
        <v>0</v>
      </c>
      <c r="F112" s="654">
        <v>9568.8008490566044</v>
      </c>
      <c r="G112" s="654">
        <v>0</v>
      </c>
      <c r="H112" s="654">
        <v>0</v>
      </c>
      <c r="I112" s="655">
        <f t="shared" si="46"/>
        <v>9568.8008490566044</v>
      </c>
      <c r="J112" s="645">
        <f t="shared" si="69"/>
        <v>0</v>
      </c>
      <c r="K112" s="646">
        <f t="shared" si="70"/>
        <v>9568.8008490566044</v>
      </c>
      <c r="L112" s="646">
        <f t="shared" si="71"/>
        <v>0</v>
      </c>
      <c r="M112" s="646">
        <f t="shared" si="72"/>
        <v>0</v>
      </c>
      <c r="N112" s="647">
        <f t="shared" si="73"/>
        <v>9568.8008490566044</v>
      </c>
      <c r="O112" s="648">
        <f t="shared" si="61"/>
        <v>0.1</v>
      </c>
      <c r="P112" s="649">
        <f t="shared" si="76"/>
        <v>10525.680933962265</v>
      </c>
      <c r="Q112" s="650" t="str">
        <f t="shared" si="75"/>
        <v>Ha</v>
      </c>
      <c r="S112" s="492" t="s">
        <v>802</v>
      </c>
      <c r="AL112" s="472" t="str">
        <f t="shared" si="47"/>
        <v>A1103</v>
      </c>
      <c r="AM112" s="472" t="str">
        <f t="shared" si="48"/>
        <v>The purchase only of local provenance native seed mix</v>
      </c>
      <c r="AN112" s="474" t="s">
        <v>643</v>
      </c>
      <c r="AO112" s="474" t="s">
        <v>643</v>
      </c>
      <c r="AP112" s="474" t="s">
        <v>643</v>
      </c>
      <c r="AQ112" s="474" t="s">
        <v>643</v>
      </c>
      <c r="AR112" s="474" t="s">
        <v>643</v>
      </c>
      <c r="AS112" s="474" t="s">
        <v>643</v>
      </c>
      <c r="AT112" s="474" t="s">
        <v>643</v>
      </c>
      <c r="AU112" s="474" t="s">
        <v>643</v>
      </c>
      <c r="AV112" s="474"/>
      <c r="AW112" s="474" t="s">
        <v>643</v>
      </c>
      <c r="AX112" s="474" t="s">
        <v>643</v>
      </c>
      <c r="AY112" s="474"/>
      <c r="AZ112" s="474" t="s">
        <v>643</v>
      </c>
      <c r="BA112" s="474"/>
      <c r="BB112" s="474" t="s">
        <v>643</v>
      </c>
      <c r="BC112" s="474"/>
      <c r="BD112" s="474"/>
    </row>
    <row r="113" spans="1:56" ht="42" customHeight="1" x14ac:dyDescent="0.25">
      <c r="A113" s="686" t="s">
        <v>630</v>
      </c>
      <c r="B113" s="662" t="s">
        <v>293</v>
      </c>
      <c r="C113" s="640" t="s">
        <v>714</v>
      </c>
      <c r="D113" s="674" t="s">
        <v>22</v>
      </c>
      <c r="E113" s="654">
        <v>0</v>
      </c>
      <c r="F113" s="654">
        <v>557.55000000000007</v>
      </c>
      <c r="G113" s="654">
        <v>0</v>
      </c>
      <c r="H113" s="654">
        <v>0</v>
      </c>
      <c r="I113" s="655">
        <f t="shared" si="46"/>
        <v>557.55000000000007</v>
      </c>
      <c r="J113" s="645">
        <f t="shared" si="69"/>
        <v>0</v>
      </c>
      <c r="K113" s="646">
        <f t="shared" si="70"/>
        <v>557.55000000000007</v>
      </c>
      <c r="L113" s="646">
        <f t="shared" si="71"/>
        <v>0</v>
      </c>
      <c r="M113" s="646">
        <f t="shared" si="72"/>
        <v>0</v>
      </c>
      <c r="N113" s="647">
        <f t="shared" si="73"/>
        <v>557.55000000000007</v>
      </c>
      <c r="O113" s="648">
        <f t="shared" si="61"/>
        <v>0.1</v>
      </c>
      <c r="P113" s="649">
        <f t="shared" ref="P113" si="77">N113+(N113*O113)</f>
        <v>613.30500000000006</v>
      </c>
      <c r="Q113" s="650" t="str">
        <f t="shared" ref="Q113" si="78">D113</f>
        <v>Ha</v>
      </c>
      <c r="S113" s="492" t="s">
        <v>803</v>
      </c>
      <c r="AL113" s="472" t="str">
        <f t="shared" si="47"/>
        <v>A1104</v>
      </c>
      <c r="AM113" s="472" t="str">
        <f t="shared" si="48"/>
        <v>The purchase only of fertiliser for broadcast application</v>
      </c>
      <c r="AN113" s="474" t="s">
        <v>643</v>
      </c>
      <c r="AO113" s="474" t="s">
        <v>643</v>
      </c>
      <c r="AP113" s="474" t="s">
        <v>643</v>
      </c>
      <c r="AQ113" s="474" t="s">
        <v>643</v>
      </c>
      <c r="AR113" s="474" t="s">
        <v>643</v>
      </c>
      <c r="AS113" s="474" t="s">
        <v>643</v>
      </c>
      <c r="AT113" s="474" t="s">
        <v>643</v>
      </c>
      <c r="AU113" s="474" t="s">
        <v>643</v>
      </c>
      <c r="AV113" s="474"/>
      <c r="AW113" s="474" t="s">
        <v>643</v>
      </c>
      <c r="AX113" s="474" t="s">
        <v>643</v>
      </c>
      <c r="AY113" s="474"/>
      <c r="AZ113" s="474" t="s">
        <v>643</v>
      </c>
      <c r="BA113" s="474"/>
      <c r="BB113" s="474" t="s">
        <v>643</v>
      </c>
      <c r="BC113" s="474"/>
      <c r="BD113" s="474"/>
    </row>
    <row r="114" spans="1:56" ht="42" customHeight="1" x14ac:dyDescent="0.25">
      <c r="A114" s="686" t="s">
        <v>631</v>
      </c>
      <c r="B114" s="662" t="s">
        <v>293</v>
      </c>
      <c r="C114" s="640" t="s">
        <v>715</v>
      </c>
      <c r="D114" s="674" t="s">
        <v>22</v>
      </c>
      <c r="E114" s="654">
        <v>0</v>
      </c>
      <c r="F114" s="654">
        <v>17936.320754716984</v>
      </c>
      <c r="G114" s="654">
        <v>0</v>
      </c>
      <c r="H114" s="654">
        <v>0</v>
      </c>
      <c r="I114" s="655">
        <f t="shared" si="46"/>
        <v>17936.320754716984</v>
      </c>
      <c r="J114" s="645">
        <f t="shared" ref="J114:J122" si="79">E114*J$8*J$7</f>
        <v>0</v>
      </c>
      <c r="K114" s="646">
        <f t="shared" ref="K114:K122" si="80">F114*K$8*K$7</f>
        <v>17936.320754716984</v>
      </c>
      <c r="L114" s="646">
        <f t="shared" ref="L114:L122" si="81">G114*L$8*L$7</f>
        <v>0</v>
      </c>
      <c r="M114" s="646">
        <f t="shared" ref="M114:M122" si="82">H114*M$8*M$7</f>
        <v>0</v>
      </c>
      <c r="N114" s="647">
        <f t="shared" ref="N114:N122" si="83">SUM(J114:M114)</f>
        <v>17936.320754716984</v>
      </c>
      <c r="O114" s="648">
        <f t="shared" si="61"/>
        <v>0.1</v>
      </c>
      <c r="P114" s="649">
        <f t="shared" ref="P114:P122" si="84">N114+(N114*O114)</f>
        <v>19729.952830188682</v>
      </c>
      <c r="Q114" s="650" t="str">
        <f t="shared" ref="Q114:Q122" si="85">D114</f>
        <v>Ha</v>
      </c>
      <c r="S114" s="492" t="s">
        <v>804</v>
      </c>
      <c r="AL114" s="472" t="str">
        <f t="shared" ref="AL114:AL152" si="86">A114</f>
        <v>A1105</v>
      </c>
      <c r="AM114" s="472" t="str">
        <f t="shared" ref="AM114:AM152" si="87">C114</f>
        <v>The purchase of native tubestock (including slow release fertiliser)</v>
      </c>
      <c r="AN114" s="474" t="s">
        <v>643</v>
      </c>
      <c r="AO114" s="474" t="s">
        <v>643</v>
      </c>
      <c r="AP114" s="474" t="s">
        <v>643</v>
      </c>
      <c r="AQ114" s="474" t="s">
        <v>643</v>
      </c>
      <c r="AR114" s="474" t="s">
        <v>643</v>
      </c>
      <c r="AS114" s="474" t="s">
        <v>643</v>
      </c>
      <c r="AT114" s="474" t="s">
        <v>643</v>
      </c>
      <c r="AU114" s="474" t="s">
        <v>643</v>
      </c>
      <c r="AV114" s="474"/>
      <c r="AW114" s="474" t="s">
        <v>643</v>
      </c>
      <c r="AX114" s="474" t="s">
        <v>643</v>
      </c>
      <c r="AY114" s="474"/>
      <c r="AZ114" s="474" t="s">
        <v>643</v>
      </c>
      <c r="BA114" s="474"/>
      <c r="BB114" s="474" t="s">
        <v>643</v>
      </c>
      <c r="BC114" s="474"/>
      <c r="BD114" s="474"/>
    </row>
    <row r="115" spans="1:56" ht="42" customHeight="1" x14ac:dyDescent="0.25">
      <c r="A115" s="686" t="s">
        <v>632</v>
      </c>
      <c r="B115" s="662" t="s">
        <v>293</v>
      </c>
      <c r="C115" s="640" t="s">
        <v>716</v>
      </c>
      <c r="D115" s="674" t="s">
        <v>22</v>
      </c>
      <c r="E115" s="654">
        <v>0</v>
      </c>
      <c r="F115" s="654">
        <v>1909.8034790365746</v>
      </c>
      <c r="G115" s="654">
        <v>0</v>
      </c>
      <c r="H115" s="654">
        <v>0</v>
      </c>
      <c r="I115" s="655">
        <f t="shared" si="46"/>
        <v>1909.8034790365746</v>
      </c>
      <c r="J115" s="645">
        <f t="shared" si="79"/>
        <v>0</v>
      </c>
      <c r="K115" s="646">
        <f t="shared" si="80"/>
        <v>1909.8034790365746</v>
      </c>
      <c r="L115" s="646">
        <f t="shared" si="81"/>
        <v>0</v>
      </c>
      <c r="M115" s="646">
        <f t="shared" si="82"/>
        <v>0</v>
      </c>
      <c r="N115" s="647">
        <f t="shared" si="83"/>
        <v>1909.8034790365746</v>
      </c>
      <c r="O115" s="648">
        <f t="shared" si="61"/>
        <v>0.1</v>
      </c>
      <c r="P115" s="649">
        <f t="shared" si="84"/>
        <v>2100.7838269402318</v>
      </c>
      <c r="Q115" s="650" t="str">
        <f t="shared" si="85"/>
        <v>Ha</v>
      </c>
      <c r="S115" s="492" t="s">
        <v>805</v>
      </c>
      <c r="AL115" s="472" t="str">
        <f t="shared" si="86"/>
        <v>A1106</v>
      </c>
      <c r="AM115" s="472" t="str">
        <f t="shared" si="87"/>
        <v>Direct seeding along rip line or mechanical broadcast seeding</v>
      </c>
      <c r="AN115" s="474" t="s">
        <v>643</v>
      </c>
      <c r="AO115" s="474" t="s">
        <v>643</v>
      </c>
      <c r="AP115" s="474" t="s">
        <v>643</v>
      </c>
      <c r="AQ115" s="474" t="s">
        <v>643</v>
      </c>
      <c r="AR115" s="474" t="s">
        <v>643</v>
      </c>
      <c r="AS115" s="474" t="s">
        <v>643</v>
      </c>
      <c r="AT115" s="474" t="s">
        <v>643</v>
      </c>
      <c r="AU115" s="474" t="s">
        <v>643</v>
      </c>
      <c r="AV115" s="474"/>
      <c r="AW115" s="474" t="s">
        <v>643</v>
      </c>
      <c r="AX115" s="474" t="s">
        <v>643</v>
      </c>
      <c r="AY115" s="474"/>
      <c r="AZ115" s="474" t="s">
        <v>643</v>
      </c>
      <c r="BA115" s="474"/>
      <c r="BB115" s="474" t="s">
        <v>643</v>
      </c>
      <c r="BC115" s="474"/>
      <c r="BD115" s="474"/>
    </row>
    <row r="116" spans="1:56" ht="42" customHeight="1" x14ac:dyDescent="0.25">
      <c r="A116" s="686" t="s">
        <v>633</v>
      </c>
      <c r="B116" s="662" t="s">
        <v>293</v>
      </c>
      <c r="C116" s="640" t="s">
        <v>816</v>
      </c>
      <c r="D116" s="674" t="s">
        <v>22</v>
      </c>
      <c r="E116" s="654">
        <v>660.18822479928622</v>
      </c>
      <c r="F116" s="654">
        <v>0</v>
      </c>
      <c r="G116" s="654">
        <v>779.14494047619041</v>
      </c>
      <c r="H116" s="654">
        <v>0</v>
      </c>
      <c r="I116" s="655">
        <f t="shared" si="46"/>
        <v>1439.3331652754766</v>
      </c>
      <c r="J116" s="645">
        <f t="shared" si="79"/>
        <v>660.18822479928622</v>
      </c>
      <c r="K116" s="646">
        <f t="shared" si="80"/>
        <v>0</v>
      </c>
      <c r="L116" s="646">
        <f t="shared" si="81"/>
        <v>779.14494047619041</v>
      </c>
      <c r="M116" s="646">
        <f t="shared" si="82"/>
        <v>0</v>
      </c>
      <c r="N116" s="647">
        <f t="shared" si="83"/>
        <v>1439.3331652754766</v>
      </c>
      <c r="O116" s="648">
        <f t="shared" si="61"/>
        <v>0.1</v>
      </c>
      <c r="P116" s="649">
        <f t="shared" si="84"/>
        <v>1583.2664818030244</v>
      </c>
      <c r="Q116" s="650" t="str">
        <f t="shared" si="85"/>
        <v>Ha</v>
      </c>
      <c r="S116" s="492" t="s">
        <v>806</v>
      </c>
      <c r="AL116" s="472" t="str">
        <f t="shared" si="86"/>
        <v>A1107</v>
      </c>
      <c r="AM116" s="472" t="str">
        <f t="shared" si="87"/>
        <v>Hydromulching (does not include seed or fertiliser)</v>
      </c>
      <c r="AN116" s="474" t="s">
        <v>643</v>
      </c>
      <c r="AO116" s="474" t="s">
        <v>643</v>
      </c>
      <c r="AP116" s="474" t="s">
        <v>643</v>
      </c>
      <c r="AQ116" s="474" t="s">
        <v>643</v>
      </c>
      <c r="AR116" s="474" t="s">
        <v>643</v>
      </c>
      <c r="AS116" s="474" t="s">
        <v>643</v>
      </c>
      <c r="AT116" s="474" t="s">
        <v>643</v>
      </c>
      <c r="AU116" s="474" t="s">
        <v>643</v>
      </c>
      <c r="AV116" s="474"/>
      <c r="AW116" s="474" t="s">
        <v>643</v>
      </c>
      <c r="AX116" s="474" t="s">
        <v>643</v>
      </c>
      <c r="AY116" s="474"/>
      <c r="AZ116" s="474" t="s">
        <v>643</v>
      </c>
      <c r="BA116" s="474"/>
      <c r="BB116" s="474" t="s">
        <v>643</v>
      </c>
      <c r="BC116" s="474"/>
      <c r="BD116" s="474"/>
    </row>
    <row r="117" spans="1:56" ht="42" customHeight="1" x14ac:dyDescent="0.25">
      <c r="A117" s="686" t="s">
        <v>717</v>
      </c>
      <c r="B117" s="662" t="s">
        <v>293</v>
      </c>
      <c r="C117" s="640" t="s">
        <v>718</v>
      </c>
      <c r="D117" s="674" t="s">
        <v>22</v>
      </c>
      <c r="E117" s="654">
        <v>0</v>
      </c>
      <c r="F117" s="654">
        <v>0</v>
      </c>
      <c r="G117" s="654">
        <v>1558.2898809523808</v>
      </c>
      <c r="H117" s="654">
        <v>0</v>
      </c>
      <c r="I117" s="655">
        <f t="shared" si="46"/>
        <v>1558.2898809523808</v>
      </c>
      <c r="J117" s="645">
        <f t="shared" si="79"/>
        <v>0</v>
      </c>
      <c r="K117" s="646">
        <f t="shared" si="80"/>
        <v>0</v>
      </c>
      <c r="L117" s="646">
        <f t="shared" si="81"/>
        <v>1558.2898809523808</v>
      </c>
      <c r="M117" s="646">
        <f t="shared" si="82"/>
        <v>0</v>
      </c>
      <c r="N117" s="647">
        <f t="shared" si="83"/>
        <v>1558.2898809523808</v>
      </c>
      <c r="O117" s="648">
        <f t="shared" si="61"/>
        <v>0.1</v>
      </c>
      <c r="P117" s="649">
        <f t="shared" si="84"/>
        <v>1714.118869047619</v>
      </c>
      <c r="Q117" s="650" t="str">
        <f t="shared" si="85"/>
        <v>Ha</v>
      </c>
      <c r="S117" s="492" t="s">
        <v>807</v>
      </c>
      <c r="AL117" s="472" t="str">
        <f t="shared" si="86"/>
        <v>A1108</v>
      </c>
      <c r="AM117" s="472" t="str">
        <f t="shared" si="87"/>
        <v>Planting of tubestock &lt;15cm (assumes 1,000 plants per hectare)</v>
      </c>
      <c r="AN117" s="474" t="s">
        <v>643</v>
      </c>
      <c r="AO117" s="474" t="s">
        <v>643</v>
      </c>
      <c r="AP117" s="474" t="s">
        <v>643</v>
      </c>
      <c r="AQ117" s="474" t="s">
        <v>643</v>
      </c>
      <c r="AR117" s="474" t="s">
        <v>643</v>
      </c>
      <c r="AS117" s="474" t="s">
        <v>643</v>
      </c>
      <c r="AT117" s="474" t="s">
        <v>643</v>
      </c>
      <c r="AU117" s="474" t="s">
        <v>643</v>
      </c>
      <c r="AV117" s="474"/>
      <c r="AW117" s="474" t="s">
        <v>643</v>
      </c>
      <c r="AX117" s="474" t="s">
        <v>643</v>
      </c>
      <c r="AY117" s="474"/>
      <c r="AZ117" s="474" t="s">
        <v>643</v>
      </c>
      <c r="BA117" s="474"/>
      <c r="BB117" s="474" t="s">
        <v>643</v>
      </c>
      <c r="BC117" s="474"/>
      <c r="BD117" s="474"/>
    </row>
    <row r="118" spans="1:56" ht="60" x14ac:dyDescent="0.25">
      <c r="A118" s="686" t="s">
        <v>719</v>
      </c>
      <c r="B118" s="662" t="s">
        <v>275</v>
      </c>
      <c r="C118" s="663" t="s">
        <v>1199</v>
      </c>
      <c r="D118" s="674" t="s">
        <v>22</v>
      </c>
      <c r="E118" s="654">
        <v>7711.1033917099385</v>
      </c>
      <c r="F118" s="654">
        <v>0</v>
      </c>
      <c r="G118" s="654">
        <v>3596.0123582766437</v>
      </c>
      <c r="H118" s="654">
        <v>0</v>
      </c>
      <c r="I118" s="655">
        <f t="shared" si="46"/>
        <v>11307.115749986582</v>
      </c>
      <c r="J118" s="645">
        <f t="shared" si="79"/>
        <v>7711.1033917099385</v>
      </c>
      <c r="K118" s="646">
        <f t="shared" si="80"/>
        <v>0</v>
      </c>
      <c r="L118" s="646">
        <f t="shared" si="81"/>
        <v>3596.0123582766437</v>
      </c>
      <c r="M118" s="646">
        <f t="shared" si="82"/>
        <v>0</v>
      </c>
      <c r="N118" s="647">
        <f t="shared" si="83"/>
        <v>11307.115749986582</v>
      </c>
      <c r="O118" s="648">
        <f t="shared" si="61"/>
        <v>0.1</v>
      </c>
      <c r="P118" s="649">
        <f t="shared" si="84"/>
        <v>12437.827324985241</v>
      </c>
      <c r="Q118" s="650" t="str">
        <f t="shared" si="85"/>
        <v>Ha</v>
      </c>
      <c r="S118" s="492" t="s">
        <v>1196</v>
      </c>
      <c r="AL118" s="472" t="str">
        <f t="shared" si="86"/>
        <v>A1109</v>
      </c>
      <c r="AM118" s="472" t="str">
        <f t="shared" si="87"/>
        <v>Wastewater Treatment Plant (Tertiary Filtration System) - demolish and remove</v>
      </c>
      <c r="AN118" s="474"/>
      <c r="AO118" s="474"/>
      <c r="AP118" s="474"/>
      <c r="AQ118" s="474"/>
      <c r="AR118" s="474"/>
      <c r="AS118" s="474"/>
      <c r="AT118" s="474"/>
      <c r="AU118" s="474"/>
      <c r="AV118" s="474"/>
      <c r="AW118" s="474"/>
      <c r="AX118" s="474"/>
      <c r="AY118" s="474" t="s">
        <v>643</v>
      </c>
      <c r="AZ118" s="474"/>
      <c r="BA118" s="474"/>
      <c r="BB118" s="474"/>
      <c r="BC118" s="474"/>
      <c r="BD118" s="474"/>
    </row>
    <row r="119" spans="1:56" ht="42" customHeight="1" x14ac:dyDescent="0.25">
      <c r="A119" s="686" t="s">
        <v>720</v>
      </c>
      <c r="B119" s="662" t="s">
        <v>293</v>
      </c>
      <c r="C119" s="640" t="s">
        <v>644</v>
      </c>
      <c r="D119" s="674" t="s">
        <v>27</v>
      </c>
      <c r="E119" s="654">
        <v>0</v>
      </c>
      <c r="F119" s="654">
        <v>0</v>
      </c>
      <c r="G119" s="654">
        <v>0</v>
      </c>
      <c r="H119" s="654">
        <v>87.088587390263385</v>
      </c>
      <c r="I119" s="655">
        <f t="shared" si="46"/>
        <v>87.088587390263385</v>
      </c>
      <c r="J119" s="645">
        <f t="shared" si="79"/>
        <v>0</v>
      </c>
      <c r="K119" s="646">
        <f t="shared" si="80"/>
        <v>0</v>
      </c>
      <c r="L119" s="646">
        <f t="shared" si="81"/>
        <v>0</v>
      </c>
      <c r="M119" s="646">
        <f t="shared" si="82"/>
        <v>87.088587390263385</v>
      </c>
      <c r="N119" s="647">
        <f t="shared" si="83"/>
        <v>87.088587390263385</v>
      </c>
      <c r="O119" s="648">
        <f t="shared" si="61"/>
        <v>0.1</v>
      </c>
      <c r="P119" s="649">
        <f t="shared" si="84"/>
        <v>95.797446129289725</v>
      </c>
      <c r="Q119" s="650" t="str">
        <f t="shared" si="85"/>
        <v>m3</v>
      </c>
      <c r="S119" s="492" t="s">
        <v>808</v>
      </c>
      <c r="AL119" s="472" t="str">
        <f t="shared" si="86"/>
        <v>A1110</v>
      </c>
      <c r="AM119" s="472" t="str">
        <f t="shared" si="87"/>
        <v>Onsite remediation of hydrocarbon contaminated soils manual land farming</v>
      </c>
      <c r="AN119" s="474"/>
      <c r="AO119" s="474"/>
      <c r="AP119" s="474"/>
      <c r="AQ119" s="474"/>
      <c r="AR119" s="474" t="s">
        <v>643</v>
      </c>
      <c r="AS119" s="474"/>
      <c r="AT119" s="474"/>
      <c r="AU119" s="474" t="s">
        <v>643</v>
      </c>
      <c r="AV119" s="474"/>
      <c r="AW119" s="474"/>
      <c r="AX119" s="474" t="s">
        <v>643</v>
      </c>
      <c r="AY119" s="474"/>
      <c r="AZ119" s="474"/>
      <c r="BA119" s="474"/>
      <c r="BB119" s="474"/>
      <c r="BC119" s="474"/>
      <c r="BD119" s="474"/>
    </row>
    <row r="120" spans="1:56" ht="42" customHeight="1" x14ac:dyDescent="0.25">
      <c r="A120" s="686" t="s">
        <v>721</v>
      </c>
      <c r="B120" s="662" t="s">
        <v>292</v>
      </c>
      <c r="C120" s="640" t="s">
        <v>722</v>
      </c>
      <c r="D120" s="674" t="s">
        <v>12</v>
      </c>
      <c r="E120" s="654">
        <v>0</v>
      </c>
      <c r="F120" s="654">
        <v>0</v>
      </c>
      <c r="G120" s="654">
        <v>0</v>
      </c>
      <c r="H120" s="654">
        <v>14.304138931034384</v>
      </c>
      <c r="I120" s="655">
        <f t="shared" si="46"/>
        <v>14.304138931034384</v>
      </c>
      <c r="J120" s="645">
        <f t="shared" si="79"/>
        <v>0</v>
      </c>
      <c r="K120" s="646">
        <f t="shared" si="80"/>
        <v>0</v>
      </c>
      <c r="L120" s="646">
        <f t="shared" si="81"/>
        <v>0</v>
      </c>
      <c r="M120" s="646">
        <f t="shared" si="82"/>
        <v>14.304138931034384</v>
      </c>
      <c r="N120" s="647">
        <f t="shared" si="83"/>
        <v>14.304138931034384</v>
      </c>
      <c r="O120" s="648">
        <f t="shared" si="61"/>
        <v>0.1</v>
      </c>
      <c r="P120" s="649">
        <f t="shared" si="84"/>
        <v>15.734552824137822</v>
      </c>
      <c r="Q120" s="650" t="str">
        <f t="shared" si="85"/>
        <v>Item</v>
      </c>
      <c r="S120" s="492" t="s">
        <v>809</v>
      </c>
      <c r="AL120" s="472" t="str">
        <f t="shared" si="86"/>
        <v>A1111</v>
      </c>
      <c r="AM120" s="472" t="str">
        <f t="shared" si="87"/>
        <v>Mobilisation and Demobilisation of Mobile Plant or Fixed Plant &lt; 30 Tonne Load</v>
      </c>
      <c r="AN120" s="474"/>
      <c r="AO120" s="474"/>
      <c r="AP120" s="474"/>
      <c r="AQ120" s="474"/>
      <c r="AR120" s="474"/>
      <c r="AS120" s="474"/>
      <c r="AT120" s="474"/>
      <c r="AU120" s="474"/>
      <c r="AV120" s="474"/>
      <c r="AW120" s="474"/>
      <c r="AX120" s="474"/>
      <c r="AY120" s="474"/>
      <c r="AZ120" s="474"/>
      <c r="BA120" s="474"/>
      <c r="BB120" s="474"/>
      <c r="BC120" s="474" t="s">
        <v>643</v>
      </c>
      <c r="BD120" s="474"/>
    </row>
    <row r="121" spans="1:56" ht="42" customHeight="1" x14ac:dyDescent="0.25">
      <c r="A121" s="686" t="s">
        <v>723</v>
      </c>
      <c r="B121" s="662" t="s">
        <v>292</v>
      </c>
      <c r="C121" s="640" t="s">
        <v>724</v>
      </c>
      <c r="D121" s="674" t="s">
        <v>12</v>
      </c>
      <c r="E121" s="654">
        <v>0</v>
      </c>
      <c r="F121" s="654">
        <v>0</v>
      </c>
      <c r="G121" s="654">
        <v>0</v>
      </c>
      <c r="H121" s="654">
        <v>22.886622289655016</v>
      </c>
      <c r="I121" s="655">
        <f t="shared" si="46"/>
        <v>22.886622289655016</v>
      </c>
      <c r="J121" s="645">
        <f t="shared" si="79"/>
        <v>0</v>
      </c>
      <c r="K121" s="646">
        <f t="shared" si="80"/>
        <v>0</v>
      </c>
      <c r="L121" s="646">
        <f t="shared" si="81"/>
        <v>0</v>
      </c>
      <c r="M121" s="646">
        <f t="shared" si="82"/>
        <v>22.886622289655016</v>
      </c>
      <c r="N121" s="647">
        <f t="shared" si="83"/>
        <v>22.886622289655016</v>
      </c>
      <c r="O121" s="648">
        <f t="shared" si="61"/>
        <v>0.1</v>
      </c>
      <c r="P121" s="649">
        <f t="shared" si="84"/>
        <v>25.175284518620519</v>
      </c>
      <c r="Q121" s="650" t="str">
        <f t="shared" si="85"/>
        <v>Item</v>
      </c>
      <c r="S121" s="492" t="s">
        <v>809</v>
      </c>
      <c r="AL121" s="472" t="str">
        <f t="shared" si="86"/>
        <v>A1112</v>
      </c>
      <c r="AM121" s="472" t="str">
        <f t="shared" si="87"/>
        <v>Mobilisation and Demobilisation of Mobile Plant or Fixed Plant - 30 to 40 Tonne Load</v>
      </c>
      <c r="AN121" s="474"/>
      <c r="AO121" s="474"/>
      <c r="AP121" s="474"/>
      <c r="AQ121" s="474"/>
      <c r="AR121" s="474"/>
      <c r="AS121" s="474"/>
      <c r="AT121" s="474"/>
      <c r="AU121" s="474"/>
      <c r="AV121" s="474"/>
      <c r="AW121" s="474"/>
      <c r="AX121" s="474"/>
      <c r="AY121" s="474"/>
      <c r="AZ121" s="474"/>
      <c r="BA121" s="474"/>
      <c r="BB121" s="474"/>
      <c r="BC121" s="474" t="s">
        <v>643</v>
      </c>
      <c r="BD121" s="474"/>
    </row>
    <row r="122" spans="1:56" ht="42" customHeight="1" x14ac:dyDescent="0.25">
      <c r="A122" s="686" t="s">
        <v>725</v>
      </c>
      <c r="B122" s="662" t="s">
        <v>292</v>
      </c>
      <c r="C122" s="640" t="s">
        <v>726</v>
      </c>
      <c r="D122" s="674" t="s">
        <v>12</v>
      </c>
      <c r="E122" s="654">
        <v>0</v>
      </c>
      <c r="F122" s="654">
        <v>0</v>
      </c>
      <c r="G122" s="654">
        <v>0</v>
      </c>
      <c r="H122" s="654">
        <v>30.038691755172209</v>
      </c>
      <c r="I122" s="655">
        <f t="shared" si="46"/>
        <v>30.038691755172209</v>
      </c>
      <c r="J122" s="645">
        <f t="shared" si="79"/>
        <v>0</v>
      </c>
      <c r="K122" s="646">
        <f t="shared" si="80"/>
        <v>0</v>
      </c>
      <c r="L122" s="646">
        <f t="shared" si="81"/>
        <v>0</v>
      </c>
      <c r="M122" s="646">
        <f t="shared" si="82"/>
        <v>30.038691755172209</v>
      </c>
      <c r="N122" s="647">
        <f t="shared" si="83"/>
        <v>30.038691755172209</v>
      </c>
      <c r="O122" s="648">
        <f t="shared" si="61"/>
        <v>0.1</v>
      </c>
      <c r="P122" s="649">
        <f t="shared" si="84"/>
        <v>33.042560930689433</v>
      </c>
      <c r="Q122" s="650" t="str">
        <f t="shared" si="85"/>
        <v>Item</v>
      </c>
      <c r="S122" s="492" t="s">
        <v>809</v>
      </c>
      <c r="AL122" s="472" t="str">
        <f t="shared" si="86"/>
        <v>A1113</v>
      </c>
      <c r="AM122" s="472" t="str">
        <f t="shared" si="87"/>
        <v>Mobilisation and Demobilisation of Mobile Plant or Fixed Plant &gt; 40 Tonne Load</v>
      </c>
      <c r="AN122" s="474"/>
      <c r="AO122" s="474"/>
      <c r="AP122" s="474"/>
      <c r="AQ122" s="474"/>
      <c r="AR122" s="474"/>
      <c r="AS122" s="474"/>
      <c r="AT122" s="474"/>
      <c r="AU122" s="474"/>
      <c r="AV122" s="474"/>
      <c r="AW122" s="474"/>
      <c r="AX122" s="474"/>
      <c r="AY122" s="474"/>
      <c r="AZ122" s="474"/>
      <c r="BA122" s="474"/>
      <c r="BB122" s="474"/>
      <c r="BC122" s="474" t="s">
        <v>643</v>
      </c>
      <c r="BD122" s="474"/>
    </row>
    <row r="123" spans="1:56" ht="42" customHeight="1" x14ac:dyDescent="0.25">
      <c r="A123" s="686" t="s">
        <v>727</v>
      </c>
      <c r="B123" s="662" t="s">
        <v>292</v>
      </c>
      <c r="C123" s="640" t="s">
        <v>728</v>
      </c>
      <c r="D123" s="674" t="s">
        <v>27</v>
      </c>
      <c r="E123" s="654">
        <v>1.2591460936341947</v>
      </c>
      <c r="F123" s="654">
        <v>250</v>
      </c>
      <c r="G123" s="654">
        <v>0.45564031606794764</v>
      </c>
      <c r="H123" s="654">
        <v>0</v>
      </c>
      <c r="I123" s="655">
        <f t="shared" si="46"/>
        <v>251.71478640970216</v>
      </c>
      <c r="J123" s="645">
        <f t="shared" ref="J123:J129" si="88">E123*J$8*J$7</f>
        <v>1.2591460936341947</v>
      </c>
      <c r="K123" s="646">
        <f t="shared" ref="K123:K129" si="89">F123*K$8*K$7</f>
        <v>250</v>
      </c>
      <c r="L123" s="646">
        <f t="shared" ref="L123:L129" si="90">G123*L$8*L$7</f>
        <v>0.45564031606794764</v>
      </c>
      <c r="M123" s="646">
        <f t="shared" ref="M123:M129" si="91">H123*M$8*M$7</f>
        <v>0</v>
      </c>
      <c r="N123" s="647">
        <f t="shared" ref="N123:N129" si="92">SUM(J123:M123)</f>
        <v>251.71478640970216</v>
      </c>
      <c r="O123" s="648">
        <f t="shared" si="61"/>
        <v>0.1</v>
      </c>
      <c r="P123" s="649">
        <f t="shared" ref="P123:P129" si="93">N123+(N123*O123)</f>
        <v>276.88626505067236</v>
      </c>
      <c r="Q123" s="650" t="str">
        <f t="shared" ref="Q123:Q129" si="94">D123</f>
        <v>m3</v>
      </c>
      <c r="S123" s="492" t="s">
        <v>810</v>
      </c>
      <c r="AL123" s="472" t="str">
        <f t="shared" si="86"/>
        <v>A1114</v>
      </c>
      <c r="AM123" s="472" t="str">
        <f t="shared" si="87"/>
        <v>Load, cart and dispose of High Level contaminated material off site to licenced landfill</v>
      </c>
      <c r="AN123" s="474"/>
      <c r="AO123" s="474"/>
      <c r="AP123" s="474"/>
      <c r="AQ123" s="474"/>
      <c r="AR123" s="474"/>
      <c r="AS123" s="474"/>
      <c r="AT123" s="474"/>
      <c r="AU123" s="474" t="s">
        <v>643</v>
      </c>
      <c r="AV123" s="474"/>
      <c r="AW123" s="474"/>
      <c r="AX123" s="474" t="s">
        <v>643</v>
      </c>
      <c r="AY123" s="474"/>
      <c r="AZ123" s="474"/>
      <c r="BA123" s="474"/>
      <c r="BB123" s="474"/>
      <c r="BC123" s="474"/>
      <c r="BD123" s="474"/>
    </row>
    <row r="124" spans="1:56" ht="42" customHeight="1" x14ac:dyDescent="0.25">
      <c r="A124" s="686" t="s">
        <v>729</v>
      </c>
      <c r="B124" s="662" t="s">
        <v>292</v>
      </c>
      <c r="C124" s="640" t="s">
        <v>730</v>
      </c>
      <c r="D124" s="674" t="s">
        <v>27</v>
      </c>
      <c r="E124" s="654">
        <v>1.2591460936341947</v>
      </c>
      <c r="F124" s="654">
        <v>200</v>
      </c>
      <c r="G124" s="654">
        <v>0.45564031606794764</v>
      </c>
      <c r="H124" s="654">
        <v>0</v>
      </c>
      <c r="I124" s="655">
        <f t="shared" si="46"/>
        <v>201.71478640970216</v>
      </c>
      <c r="J124" s="645">
        <f t="shared" si="88"/>
        <v>1.2591460936341947</v>
      </c>
      <c r="K124" s="646">
        <f t="shared" si="89"/>
        <v>200</v>
      </c>
      <c r="L124" s="646">
        <f t="shared" si="90"/>
        <v>0.45564031606794764</v>
      </c>
      <c r="M124" s="646">
        <f t="shared" si="91"/>
        <v>0</v>
      </c>
      <c r="N124" s="647">
        <f t="shared" si="92"/>
        <v>201.71478640970216</v>
      </c>
      <c r="O124" s="648">
        <f t="shared" si="61"/>
        <v>0.1</v>
      </c>
      <c r="P124" s="649">
        <f t="shared" si="93"/>
        <v>221.88626505067236</v>
      </c>
      <c r="Q124" s="650" t="str">
        <f t="shared" si="94"/>
        <v>m3</v>
      </c>
      <c r="S124" s="492" t="s">
        <v>811</v>
      </c>
      <c r="AL124" s="472" t="str">
        <f t="shared" si="86"/>
        <v>A1115</v>
      </c>
      <c r="AM124" s="472" t="str">
        <f t="shared" si="87"/>
        <v>Load, cart and dispose of Low Level contaminated material off site to licenced landfill</v>
      </c>
      <c r="AN124" s="474"/>
      <c r="AO124" s="474"/>
      <c r="AP124" s="474"/>
      <c r="AQ124" s="474"/>
      <c r="AR124" s="474"/>
      <c r="AS124" s="474"/>
      <c r="AT124" s="474"/>
      <c r="AU124" s="474" t="s">
        <v>643</v>
      </c>
      <c r="AV124" s="474"/>
      <c r="AW124" s="474"/>
      <c r="AX124" s="474" t="s">
        <v>643</v>
      </c>
      <c r="AY124" s="474"/>
      <c r="AZ124" s="474"/>
      <c r="BA124" s="474"/>
      <c r="BB124" s="474"/>
      <c r="BC124" s="474"/>
      <c r="BD124" s="474"/>
    </row>
    <row r="125" spans="1:56" ht="60" x14ac:dyDescent="0.25">
      <c r="A125" s="686" t="s">
        <v>731</v>
      </c>
      <c r="B125" s="662" t="s">
        <v>339</v>
      </c>
      <c r="C125" s="663" t="s">
        <v>1200</v>
      </c>
      <c r="D125" s="674" t="s">
        <v>687</v>
      </c>
      <c r="E125" s="654">
        <v>4643.796715958144</v>
      </c>
      <c r="F125" s="654">
        <v>0</v>
      </c>
      <c r="G125" s="654">
        <v>2273.6677721088436</v>
      </c>
      <c r="H125" s="654">
        <v>0</v>
      </c>
      <c r="I125" s="655">
        <f t="shared" si="46"/>
        <v>6917.4644880669875</v>
      </c>
      <c r="J125" s="645">
        <f t="shared" si="88"/>
        <v>4643.796715958144</v>
      </c>
      <c r="K125" s="646">
        <f t="shared" si="89"/>
        <v>0</v>
      </c>
      <c r="L125" s="646">
        <f t="shared" si="90"/>
        <v>2273.6677721088436</v>
      </c>
      <c r="M125" s="646">
        <f t="shared" si="91"/>
        <v>0</v>
      </c>
      <c r="N125" s="647">
        <f t="shared" si="92"/>
        <v>6917.4644880669875</v>
      </c>
      <c r="O125" s="648">
        <f t="shared" si="61"/>
        <v>0.1</v>
      </c>
      <c r="P125" s="649">
        <f t="shared" si="93"/>
        <v>7609.2109368736865</v>
      </c>
      <c r="Q125" s="650" t="str">
        <f t="shared" si="94"/>
        <v>MLD</v>
      </c>
      <c r="S125" s="492" t="s">
        <v>1197</v>
      </c>
      <c r="AL125" s="472" t="str">
        <f t="shared" si="86"/>
        <v>A1116</v>
      </c>
      <c r="AM125" s="472" t="str">
        <f t="shared" si="87"/>
        <v>Water Treatment Plant - RO desalination or ion exchanger system - demolish and remove - based on plant capacity in Mega Litres a Day</v>
      </c>
      <c r="AN125" s="474"/>
      <c r="AO125" s="474"/>
      <c r="AP125" s="474"/>
      <c r="AQ125" s="474"/>
      <c r="AR125" s="474"/>
      <c r="AS125" s="474"/>
      <c r="AT125" s="474"/>
      <c r="AU125" s="474"/>
      <c r="AV125" s="474"/>
      <c r="AW125" s="474"/>
      <c r="AX125" s="474"/>
      <c r="AY125" s="474" t="s">
        <v>643</v>
      </c>
      <c r="AZ125" s="474"/>
      <c r="BA125" s="474"/>
      <c r="BB125" s="474"/>
      <c r="BC125" s="474"/>
      <c r="BD125" s="474"/>
    </row>
    <row r="126" spans="1:56" ht="45" x14ac:dyDescent="0.25">
      <c r="A126" s="686" t="s">
        <v>732</v>
      </c>
      <c r="B126" s="662" t="s">
        <v>339</v>
      </c>
      <c r="C126" s="663" t="s">
        <v>1201</v>
      </c>
      <c r="D126" s="674" t="s">
        <v>687</v>
      </c>
      <c r="E126" s="654">
        <v>9424.6682738443869</v>
      </c>
      <c r="F126" s="654">
        <v>0</v>
      </c>
      <c r="G126" s="654">
        <v>11789.949404761905</v>
      </c>
      <c r="H126" s="654">
        <v>0</v>
      </c>
      <c r="I126" s="655">
        <f t="shared" si="46"/>
        <v>21214.617678606293</v>
      </c>
      <c r="J126" s="645">
        <f t="shared" si="88"/>
        <v>9424.6682738443869</v>
      </c>
      <c r="K126" s="646">
        <f t="shared" si="89"/>
        <v>0</v>
      </c>
      <c r="L126" s="646">
        <f t="shared" si="90"/>
        <v>11789.949404761905</v>
      </c>
      <c r="M126" s="646">
        <f t="shared" si="91"/>
        <v>0</v>
      </c>
      <c r="N126" s="647">
        <f t="shared" si="92"/>
        <v>21214.617678606293</v>
      </c>
      <c r="O126" s="648">
        <f t="shared" si="61"/>
        <v>0.1</v>
      </c>
      <c r="P126" s="649">
        <f t="shared" si="93"/>
        <v>23336.079446466923</v>
      </c>
      <c r="Q126" s="650" t="str">
        <f t="shared" si="94"/>
        <v>MLD</v>
      </c>
      <c r="S126" s="492" t="s">
        <v>1198</v>
      </c>
      <c r="AL126" s="472" t="str">
        <f t="shared" si="86"/>
        <v>A1117</v>
      </c>
      <c r="AM126" s="472" t="str">
        <f t="shared" si="87"/>
        <v xml:space="preserve">Wastewater Treatment Plant - anoxic and aeration tank (activated sludge process) - demolish and remove </v>
      </c>
      <c r="AN126" s="474"/>
      <c r="AO126" s="474"/>
      <c r="AP126" s="474"/>
      <c r="AQ126" s="474"/>
      <c r="AR126" s="474"/>
      <c r="AS126" s="474"/>
      <c r="AT126" s="474"/>
      <c r="AU126" s="474"/>
      <c r="AV126" s="474"/>
      <c r="AW126" s="474"/>
      <c r="AX126" s="474"/>
      <c r="AY126" s="474" t="s">
        <v>643</v>
      </c>
      <c r="AZ126" s="474"/>
      <c r="BA126" s="474"/>
      <c r="BB126" s="474"/>
      <c r="BC126" s="474"/>
      <c r="BD126" s="474"/>
    </row>
    <row r="127" spans="1:56" ht="42" customHeight="1" x14ac:dyDescent="0.25">
      <c r="A127" s="686" t="s">
        <v>733</v>
      </c>
      <c r="B127" s="662" t="s">
        <v>275</v>
      </c>
      <c r="C127" s="640" t="s">
        <v>734</v>
      </c>
      <c r="D127" s="674" t="s">
        <v>12</v>
      </c>
      <c r="E127" s="654">
        <v>330.11283728536387</v>
      </c>
      <c r="F127" s="654">
        <v>0</v>
      </c>
      <c r="G127" s="654">
        <v>12784.381547619047</v>
      </c>
      <c r="H127" s="654">
        <v>0</v>
      </c>
      <c r="I127" s="655">
        <f t="shared" si="46"/>
        <v>13114.49438490441</v>
      </c>
      <c r="J127" s="645">
        <f t="shared" si="88"/>
        <v>330.11283728536387</v>
      </c>
      <c r="K127" s="646">
        <f t="shared" si="89"/>
        <v>0</v>
      </c>
      <c r="L127" s="646">
        <f t="shared" si="90"/>
        <v>12784.381547619047</v>
      </c>
      <c r="M127" s="646">
        <f t="shared" si="91"/>
        <v>0</v>
      </c>
      <c r="N127" s="647">
        <f t="shared" si="92"/>
        <v>13114.49438490441</v>
      </c>
      <c r="O127" s="648">
        <f t="shared" si="61"/>
        <v>0.1</v>
      </c>
      <c r="P127" s="649">
        <f t="shared" si="93"/>
        <v>14425.943823394851</v>
      </c>
      <c r="Q127" s="650" t="str">
        <f t="shared" si="94"/>
        <v>Item</v>
      </c>
      <c r="S127" s="492" t="s">
        <v>734</v>
      </c>
      <c r="AL127" s="472" t="str">
        <f t="shared" si="86"/>
        <v>A1118</v>
      </c>
      <c r="AM127" s="472" t="str">
        <f t="shared" si="87"/>
        <v>Remove ventilation fans (excluding underground infrastructure)</v>
      </c>
      <c r="AN127" s="474"/>
      <c r="AO127" s="474"/>
      <c r="AP127" s="474"/>
      <c r="AQ127" s="474"/>
      <c r="AR127" s="474"/>
      <c r="AS127" s="474"/>
      <c r="AT127" s="474"/>
      <c r="AU127" s="474"/>
      <c r="AV127" s="474"/>
      <c r="AW127" s="474"/>
      <c r="AX127" s="474"/>
      <c r="AY127" s="474"/>
      <c r="AZ127" s="474"/>
      <c r="BA127" s="474"/>
      <c r="BB127" s="474"/>
      <c r="BC127" s="474"/>
      <c r="BD127" s="474"/>
    </row>
    <row r="128" spans="1:56" ht="42" customHeight="1" x14ac:dyDescent="0.25">
      <c r="A128" s="686" t="s">
        <v>735</v>
      </c>
      <c r="B128" s="662" t="s">
        <v>275</v>
      </c>
      <c r="C128" s="640" t="s">
        <v>736</v>
      </c>
      <c r="D128" s="674" t="s">
        <v>12</v>
      </c>
      <c r="E128" s="654">
        <v>10698.721047623494</v>
      </c>
      <c r="F128" s="654">
        <v>127.32023193577163</v>
      </c>
      <c r="G128" s="654">
        <v>1649.597619047619</v>
      </c>
      <c r="H128" s="654">
        <v>0</v>
      </c>
      <c r="I128" s="655">
        <f t="shared" si="46"/>
        <v>12475.638898606885</v>
      </c>
      <c r="J128" s="645">
        <f t="shared" si="88"/>
        <v>10698.721047623494</v>
      </c>
      <c r="K128" s="646">
        <f t="shared" si="89"/>
        <v>127.32023193577163</v>
      </c>
      <c r="L128" s="646">
        <f t="shared" si="90"/>
        <v>1649.597619047619</v>
      </c>
      <c r="M128" s="646">
        <f t="shared" si="91"/>
        <v>0</v>
      </c>
      <c r="N128" s="647">
        <f t="shared" si="92"/>
        <v>12475.638898606885</v>
      </c>
      <c r="O128" s="648">
        <f t="shared" si="61"/>
        <v>0.1</v>
      </c>
      <c r="P128" s="649">
        <f t="shared" si="93"/>
        <v>13723.202788467574</v>
      </c>
      <c r="Q128" s="650" t="str">
        <f t="shared" si="94"/>
        <v>Item</v>
      </c>
      <c r="S128" s="492" t="s">
        <v>812</v>
      </c>
      <c r="AL128" s="472" t="str">
        <f t="shared" si="86"/>
        <v>A1119</v>
      </c>
      <c r="AM128" s="472" t="str">
        <f t="shared" si="87"/>
        <v>Seal access and ventilation shafts, including backfill above seal with 2 m earthen material</v>
      </c>
      <c r="AN128" s="474"/>
      <c r="AO128" s="474"/>
      <c r="AP128" s="474"/>
      <c r="AQ128" s="474"/>
      <c r="AR128" s="474"/>
      <c r="AS128" s="474"/>
      <c r="AT128" s="474"/>
      <c r="AU128" s="474"/>
      <c r="AV128" s="474"/>
      <c r="AW128" s="474"/>
      <c r="AX128" s="474"/>
      <c r="AY128" s="474"/>
      <c r="AZ128" s="474"/>
      <c r="BA128" s="474"/>
      <c r="BB128" s="474"/>
      <c r="BC128" s="474"/>
      <c r="BD128" s="474"/>
    </row>
    <row r="129" spans="1:56" ht="42" customHeight="1" x14ac:dyDescent="0.25">
      <c r="A129" s="686" t="s">
        <v>737</v>
      </c>
      <c r="B129" s="662" t="s">
        <v>275</v>
      </c>
      <c r="C129" s="640" t="s">
        <v>738</v>
      </c>
      <c r="D129" s="674" t="s">
        <v>12</v>
      </c>
      <c r="E129" s="654">
        <v>21372.872339661393</v>
      </c>
      <c r="F129" s="654">
        <v>0</v>
      </c>
      <c r="G129" s="654">
        <v>12784.381547619047</v>
      </c>
      <c r="H129" s="654">
        <v>0</v>
      </c>
      <c r="I129" s="655">
        <f t="shared" si="46"/>
        <v>34157.253887280443</v>
      </c>
      <c r="J129" s="645">
        <f t="shared" si="88"/>
        <v>21372.872339661393</v>
      </c>
      <c r="K129" s="646">
        <f t="shared" si="89"/>
        <v>0</v>
      </c>
      <c r="L129" s="646">
        <f t="shared" si="90"/>
        <v>12784.381547619047</v>
      </c>
      <c r="M129" s="646">
        <f t="shared" si="91"/>
        <v>0</v>
      </c>
      <c r="N129" s="647">
        <f t="shared" si="92"/>
        <v>34157.253887280443</v>
      </c>
      <c r="O129" s="648">
        <f t="shared" si="61"/>
        <v>0.1</v>
      </c>
      <c r="P129" s="649">
        <f t="shared" si="93"/>
        <v>37572.979276008489</v>
      </c>
      <c r="Q129" s="650" t="str">
        <f t="shared" si="94"/>
        <v>Item</v>
      </c>
      <c r="S129" s="492" t="s">
        <v>813</v>
      </c>
      <c r="AL129" s="472" t="str">
        <f t="shared" si="86"/>
        <v>A1120</v>
      </c>
      <c r="AM129" s="472" t="str">
        <f t="shared" si="87"/>
        <v>Remove access shaft lift and superstructure (not exceeding 50 tonnes) (excluding removal of in-shaft components)</v>
      </c>
      <c r="AN129" s="474"/>
      <c r="AO129" s="474"/>
      <c r="AP129" s="474"/>
      <c r="AQ129" s="474"/>
      <c r="AR129" s="474"/>
      <c r="AS129" s="474"/>
      <c r="AT129" s="474"/>
      <c r="AU129" s="474"/>
      <c r="AV129" s="474"/>
      <c r="AW129" s="474"/>
      <c r="AX129" s="474"/>
      <c r="AY129" s="474"/>
      <c r="AZ129" s="474"/>
      <c r="BA129" s="474"/>
      <c r="BB129" s="474"/>
      <c r="BC129" s="474"/>
      <c r="BD129" s="474"/>
    </row>
    <row r="130" spans="1:56" ht="42" customHeight="1" x14ac:dyDescent="0.25">
      <c r="A130" s="686" t="s">
        <v>877</v>
      </c>
      <c r="B130" s="662" t="s">
        <v>275</v>
      </c>
      <c r="C130" s="640" t="s">
        <v>1187</v>
      </c>
      <c r="D130" s="674" t="s">
        <v>12</v>
      </c>
      <c r="E130" s="654">
        <v>0</v>
      </c>
      <c r="F130" s="654">
        <v>50.93058876003569</v>
      </c>
      <c r="G130" s="654">
        <v>0</v>
      </c>
      <c r="H130" s="654">
        <v>0</v>
      </c>
      <c r="I130" s="655">
        <f t="shared" ref="I130" si="95">SUM(E130:H130)</f>
        <v>50.93058876003569</v>
      </c>
      <c r="J130" s="645">
        <f t="shared" ref="J130" si="96">E130*J$8*J$7</f>
        <v>0</v>
      </c>
      <c r="K130" s="646">
        <f t="shared" ref="K130" si="97">F130*K$8*K$7</f>
        <v>50.93058876003569</v>
      </c>
      <c r="L130" s="646">
        <f t="shared" ref="L130" si="98">G130*L$8*L$7</f>
        <v>0</v>
      </c>
      <c r="M130" s="646">
        <f t="shared" ref="M130" si="99">H130*M$8*M$7</f>
        <v>0</v>
      </c>
      <c r="N130" s="647">
        <f t="shared" ref="N130" si="100">SUM(J130:M130)</f>
        <v>50.93058876003569</v>
      </c>
      <c r="O130" s="648">
        <f t="shared" si="61"/>
        <v>0.1</v>
      </c>
      <c r="P130" s="649">
        <f t="shared" ref="P130" si="101">N130+(N130*O130)</f>
        <v>56.023647636039257</v>
      </c>
      <c r="Q130" s="650" t="str">
        <f t="shared" ref="Q130" si="102">D130</f>
        <v>Item</v>
      </c>
      <c r="S130" s="492" t="s">
        <v>1188</v>
      </c>
      <c r="AL130" s="472" t="str">
        <f t="shared" si="86"/>
        <v>A1121</v>
      </c>
      <c r="AM130" s="472" t="str">
        <f t="shared" si="87"/>
        <v xml:space="preserve">Non-Degradeable Plug Seal for Exploration Drillhole </v>
      </c>
      <c r="AN130" s="474"/>
      <c r="AO130" s="474"/>
      <c r="AP130" s="474"/>
      <c r="AQ130" s="474"/>
      <c r="AR130" s="474" t="s">
        <v>643</v>
      </c>
      <c r="AS130" s="474"/>
      <c r="AT130" s="474"/>
      <c r="AU130" s="474"/>
      <c r="AV130" s="474"/>
      <c r="AW130" s="474"/>
      <c r="AX130" s="474" t="s">
        <v>643</v>
      </c>
      <c r="AY130" s="474" t="s">
        <v>643</v>
      </c>
      <c r="AZ130" s="474"/>
      <c r="BA130" s="474"/>
      <c r="BB130" s="474"/>
      <c r="BC130" s="474"/>
      <c r="BD130" s="474"/>
    </row>
    <row r="131" spans="1:56" ht="120" x14ac:dyDescent="0.25">
      <c r="A131" s="686" t="s">
        <v>878</v>
      </c>
      <c r="B131" s="662" t="s">
        <v>275</v>
      </c>
      <c r="C131" s="640" t="str">
        <f>[5]A1122!A$4</f>
        <v>260mm Diameter Drillholes 
Machine and Labour cost to Backfill, Cap and Seal Drill Holes  (Backfill hole with cuttings etc, cut off below ground level and seal the top of the hole before covering with soil and burying any remaining cuttings)</v>
      </c>
      <c r="D131" s="674" t="str">
        <f>[5]A1122!$J$18</f>
        <v>$/m</v>
      </c>
      <c r="E131" s="654">
        <v>2.7738856750101966</v>
      </c>
      <c r="F131" s="654">
        <v>0</v>
      </c>
      <c r="G131" s="654">
        <v>5.7078360827664403</v>
      </c>
      <c r="H131" s="654">
        <v>0</v>
      </c>
      <c r="I131" s="655">
        <f t="shared" ref="I131:I136" si="103">SUM(E131:H131)</f>
        <v>8.4817217577766364</v>
      </c>
      <c r="J131" s="645">
        <f t="shared" ref="J131" si="104">E131*J$8*J$7</f>
        <v>2.7738856750101966</v>
      </c>
      <c r="K131" s="646">
        <f t="shared" ref="K131" si="105">F131*K$8*K$7</f>
        <v>0</v>
      </c>
      <c r="L131" s="646">
        <f t="shared" ref="L131" si="106">G131*L$8*L$7</f>
        <v>5.7078360827664403</v>
      </c>
      <c r="M131" s="646">
        <f t="shared" ref="M131" si="107">H131*M$8*M$7</f>
        <v>0</v>
      </c>
      <c r="N131" s="647">
        <f t="shared" ref="N131" si="108">SUM(J131:M131)</f>
        <v>8.4817217577766364</v>
      </c>
      <c r="O131" s="648">
        <f t="shared" si="61"/>
        <v>0.1</v>
      </c>
      <c r="P131" s="649">
        <f t="shared" ref="P131" si="109">N131+(N131*O131)</f>
        <v>9.3298939335543007</v>
      </c>
      <c r="Q131" s="650" t="str">
        <f t="shared" ref="Q131" si="110">D131</f>
        <v>$/m</v>
      </c>
      <c r="S131" s="902" t="str">
        <f>[5]A1122!$A$8</f>
        <v>This activity can be applied to drill holes which do not need grouting.  The hole casing is to be  cut off 1 metre below ground level, backfilled with drill cuttings and sealed with a non-degradeable plug.  Remaining cuttings are buried by excavating a small scrape adjacent to the cuttings.  The ground is then reshaped over the hole and scraped to allow natural revegetation of the area and removal of all traces of the hole.  Any and all rubbish is to be removed to an approved dump.</v>
      </c>
      <c r="AL131" s="472" t="str">
        <f t="shared" si="86"/>
        <v>A1122</v>
      </c>
      <c r="AM131" s="472" t="str">
        <f t="shared" si="87"/>
        <v>260mm Diameter Drillholes 
Machine and Labour cost to Backfill, Cap and Seal Drill Holes  (Backfill hole with cuttings etc, cut off below ground level and seal the top of the hole before covering with soil and burying any remaining cuttings)</v>
      </c>
      <c r="AN131" s="474"/>
      <c r="AO131" s="474"/>
      <c r="AP131" s="474"/>
      <c r="AQ131" s="474"/>
      <c r="AR131" s="474" t="s">
        <v>643</v>
      </c>
      <c r="AS131" s="474"/>
      <c r="AT131" s="474"/>
      <c r="AU131" s="474"/>
      <c r="AV131" s="474"/>
      <c r="AW131" s="474"/>
      <c r="AX131" s="474" t="s">
        <v>643</v>
      </c>
      <c r="AY131" s="474" t="s">
        <v>643</v>
      </c>
      <c r="AZ131" s="474"/>
      <c r="BA131" s="474"/>
      <c r="BB131" s="474"/>
      <c r="BC131" s="474"/>
      <c r="BD131" s="474"/>
    </row>
    <row r="132" spans="1:56" ht="120" x14ac:dyDescent="0.25">
      <c r="A132" s="686" t="s">
        <v>1182</v>
      </c>
      <c r="B132" s="662" t="s">
        <v>275</v>
      </c>
      <c r="C132" s="640" t="str">
        <f>[5]A1123!A$4</f>
        <v>200mm Diameter Drillholes 
Machine and Labour cost to Backfill, Cap and Seal Drill Holes  (Backfill hole with cuttings etc, cut off below ground level and seal the top of the hole before covering with soil and burying any remaining cuttings)</v>
      </c>
      <c r="D132" s="674" t="str">
        <f>[5]A1123!$J$18</f>
        <v>$/m</v>
      </c>
      <c r="E132" s="654">
        <v>2.0516905880252936</v>
      </c>
      <c r="F132" s="654">
        <v>0</v>
      </c>
      <c r="G132" s="654">
        <v>4.221772250566894</v>
      </c>
      <c r="H132" s="654">
        <v>0</v>
      </c>
      <c r="I132" s="655">
        <f t="shared" si="103"/>
        <v>6.273462838592188</v>
      </c>
      <c r="J132" s="645">
        <f t="shared" ref="J132:J136" si="111">E132*J$8*J$7</f>
        <v>2.0516905880252936</v>
      </c>
      <c r="K132" s="646">
        <f t="shared" ref="K132:K136" si="112">F132*K$8*K$7</f>
        <v>0</v>
      </c>
      <c r="L132" s="646">
        <f t="shared" ref="L132:L136" si="113">G132*L$8*L$7</f>
        <v>4.221772250566894</v>
      </c>
      <c r="M132" s="646">
        <f t="shared" ref="M132:M136" si="114">H132*M$8*M$7</f>
        <v>0</v>
      </c>
      <c r="N132" s="647">
        <f t="shared" ref="N132:N136" si="115">SUM(J132:M132)</f>
        <v>6.273462838592188</v>
      </c>
      <c r="O132" s="648">
        <f t="shared" si="61"/>
        <v>0.1</v>
      </c>
      <c r="P132" s="649">
        <f t="shared" ref="P132:P136" si="116">N132+(N132*O132)</f>
        <v>6.900809122451407</v>
      </c>
      <c r="Q132" s="650" t="str">
        <f t="shared" ref="Q132:Q136" si="117">D132</f>
        <v>$/m</v>
      </c>
      <c r="S132" s="902" t="str">
        <f>[5]A1122!$A$8</f>
        <v>This activity can be applied to drill holes which do not need grouting.  The hole casing is to be  cut off 1 metre below ground level, backfilled with drill cuttings and sealed with a non-degradeable plug.  Remaining cuttings are buried by excavating a small scrape adjacent to the cuttings.  The ground is then reshaped over the hole and scraped to allow natural revegetation of the area and removal of all traces of the hole.  Any and all rubbish is to be removed to an approved dump.</v>
      </c>
      <c r="AL132" s="472" t="str">
        <f t="shared" si="86"/>
        <v>A1123</v>
      </c>
      <c r="AM132" s="472" t="str">
        <f t="shared" si="87"/>
        <v>200mm Diameter Drillholes 
Machine and Labour cost to Backfill, Cap and Seal Drill Holes  (Backfill hole with cuttings etc, cut off below ground level and seal the top of the hole before covering with soil and burying any remaining cuttings)</v>
      </c>
      <c r="AN132" s="474"/>
      <c r="AO132" s="474"/>
      <c r="AP132" s="474"/>
      <c r="AQ132" s="474"/>
      <c r="AR132" s="474"/>
      <c r="AS132" s="474"/>
      <c r="AT132" s="474"/>
      <c r="AU132" s="474"/>
      <c r="AV132" s="474"/>
      <c r="AW132" s="474"/>
      <c r="AX132" s="474"/>
      <c r="AY132" s="474"/>
      <c r="AZ132" s="474"/>
      <c r="BA132" s="474"/>
      <c r="BB132" s="474"/>
      <c r="BC132" s="474"/>
      <c r="BD132" s="474"/>
    </row>
    <row r="133" spans="1:56" ht="120" x14ac:dyDescent="0.25">
      <c r="A133" s="686" t="s">
        <v>1183</v>
      </c>
      <c r="B133" s="662" t="s">
        <v>275</v>
      </c>
      <c r="C133" s="640" t="str">
        <f>[5]A1124!A$4</f>
        <v>140mm Diameter Drillholes 
Machine and Labour cost to Backfill, Cap and Seal Drill Holes  (Backfill hole with cuttings etc, cut off below ground level and seal the top of the hole before covering with soil and burying any remaining cuttings)</v>
      </c>
      <c r="D133" s="674" t="str">
        <f>[5]A1124!$J$18</f>
        <v>$/m</v>
      </c>
      <c r="E133" s="654">
        <v>1.2063940657588728</v>
      </c>
      <c r="F133" s="654">
        <v>0</v>
      </c>
      <c r="G133" s="654">
        <v>2.482402083333334</v>
      </c>
      <c r="H133" s="654">
        <v>0</v>
      </c>
      <c r="I133" s="655">
        <f t="shared" si="103"/>
        <v>3.688796149092207</v>
      </c>
      <c r="J133" s="645">
        <f t="shared" si="111"/>
        <v>1.2063940657588728</v>
      </c>
      <c r="K133" s="646">
        <f t="shared" si="112"/>
        <v>0</v>
      </c>
      <c r="L133" s="646">
        <f t="shared" si="113"/>
        <v>2.482402083333334</v>
      </c>
      <c r="M133" s="646">
        <f t="shared" si="114"/>
        <v>0</v>
      </c>
      <c r="N133" s="647">
        <f t="shared" si="115"/>
        <v>3.688796149092207</v>
      </c>
      <c r="O133" s="648">
        <f t="shared" si="61"/>
        <v>0.1</v>
      </c>
      <c r="P133" s="649">
        <f t="shared" si="116"/>
        <v>4.057675764001428</v>
      </c>
      <c r="Q133" s="650" t="str">
        <f t="shared" si="117"/>
        <v>$/m</v>
      </c>
      <c r="S133" s="902" t="str">
        <f>[5]A1122!$A$8</f>
        <v>This activity can be applied to drill holes which do not need grouting.  The hole casing is to be  cut off 1 metre below ground level, backfilled with drill cuttings and sealed with a non-degradeable plug.  Remaining cuttings are buried by excavating a small scrape adjacent to the cuttings.  The ground is then reshaped over the hole and scraped to allow natural revegetation of the area and removal of all traces of the hole.  Any and all rubbish is to be removed to an approved dump.</v>
      </c>
      <c r="AL133" s="472" t="str">
        <f t="shared" si="86"/>
        <v>A1124</v>
      </c>
      <c r="AM133" s="472" t="str">
        <f t="shared" si="87"/>
        <v>140mm Diameter Drillholes 
Machine and Labour cost to Backfill, Cap and Seal Drill Holes  (Backfill hole with cuttings etc, cut off below ground level and seal the top of the hole before covering with soil and burying any remaining cuttings)</v>
      </c>
      <c r="AN133" s="474"/>
      <c r="AO133" s="474"/>
      <c r="AP133" s="474"/>
      <c r="AQ133" s="474"/>
      <c r="AR133" s="474"/>
      <c r="AS133" s="474"/>
      <c r="AT133" s="474"/>
      <c r="AU133" s="474"/>
      <c r="AV133" s="474"/>
      <c r="AW133" s="474"/>
      <c r="AX133" s="474"/>
      <c r="AY133" s="474"/>
      <c r="AZ133" s="474"/>
      <c r="BA133" s="474"/>
      <c r="BB133" s="474"/>
      <c r="BC133" s="474"/>
      <c r="BD133" s="474"/>
    </row>
    <row r="134" spans="1:56" ht="120" x14ac:dyDescent="0.25">
      <c r="A134" s="686" t="s">
        <v>1184</v>
      </c>
      <c r="B134" s="662" t="s">
        <v>275</v>
      </c>
      <c r="C134" s="640" t="str">
        <f>[5]A1125!A$4</f>
        <v>125mm Diameter Drillholes 
Machine and Labour cost to Backfill, Cap and Seal Drill Holes  (Backfill hole with cuttings etc, cut off below ground level and seal the top of the hole before covering with soil and burying any remaining cuttings)</v>
      </c>
      <c r="D134" s="674" t="str">
        <f>[5]A1125!$J$18</f>
        <v>$/m</v>
      </c>
      <c r="E134" s="654">
        <v>1.1220182903263323</v>
      </c>
      <c r="F134" s="654">
        <v>0</v>
      </c>
      <c r="G134" s="654">
        <v>2.3087816995287698</v>
      </c>
      <c r="H134" s="654">
        <v>0</v>
      </c>
      <c r="I134" s="655">
        <f t="shared" si="103"/>
        <v>3.4307999898551023</v>
      </c>
      <c r="J134" s="645">
        <f t="shared" si="111"/>
        <v>1.1220182903263323</v>
      </c>
      <c r="K134" s="646">
        <f t="shared" si="112"/>
        <v>0</v>
      </c>
      <c r="L134" s="646">
        <f t="shared" si="113"/>
        <v>2.3087816995287698</v>
      </c>
      <c r="M134" s="646">
        <f t="shared" si="114"/>
        <v>0</v>
      </c>
      <c r="N134" s="647">
        <f t="shared" si="115"/>
        <v>3.4307999898551023</v>
      </c>
      <c r="O134" s="648">
        <f t="shared" si="61"/>
        <v>0.1</v>
      </c>
      <c r="P134" s="649">
        <f t="shared" si="116"/>
        <v>3.7738799888406125</v>
      </c>
      <c r="Q134" s="650" t="str">
        <f t="shared" si="117"/>
        <v>$/m</v>
      </c>
      <c r="S134" s="902" t="str">
        <f>[5]A1122!$A$8</f>
        <v>This activity can be applied to drill holes which do not need grouting.  The hole casing is to be  cut off 1 metre below ground level, backfilled with drill cuttings and sealed with a non-degradeable plug.  Remaining cuttings are buried by excavating a small scrape adjacent to the cuttings.  The ground is then reshaped over the hole and scraped to allow natural revegetation of the area and removal of all traces of the hole.  Any and all rubbish is to be removed to an approved dump.</v>
      </c>
      <c r="AL134" s="472" t="str">
        <f t="shared" si="86"/>
        <v>A1125</v>
      </c>
      <c r="AM134" s="472" t="str">
        <f t="shared" si="87"/>
        <v>125mm Diameter Drillholes 
Machine and Labour cost to Backfill, Cap and Seal Drill Holes  (Backfill hole with cuttings etc, cut off below ground level and seal the top of the hole before covering with soil and burying any remaining cuttings)</v>
      </c>
      <c r="AN134" s="474"/>
      <c r="AO134" s="474"/>
      <c r="AP134" s="474"/>
      <c r="AQ134" s="474"/>
      <c r="AR134" s="474"/>
      <c r="AS134" s="474"/>
      <c r="AT134" s="474"/>
      <c r="AU134" s="474"/>
      <c r="AV134" s="474"/>
      <c r="AW134" s="474"/>
      <c r="AX134" s="474"/>
      <c r="AY134" s="474"/>
      <c r="AZ134" s="474"/>
      <c r="BA134" s="474"/>
      <c r="BB134" s="474"/>
      <c r="BC134" s="474"/>
      <c r="BD134" s="474"/>
    </row>
    <row r="135" spans="1:56" ht="120" x14ac:dyDescent="0.25">
      <c r="A135" s="686" t="s">
        <v>1185</v>
      </c>
      <c r="B135" s="662" t="s">
        <v>275</v>
      </c>
      <c r="C135" s="640" t="str">
        <f>[5]A1126!A$4</f>
        <v>100mm Diameter Drillholes 
Machine and Labour cost to Backfill, Cap and Seal Drill Holes  (Backfill hole with cuttings etc, cut off below ground level and seal the top of the hole before covering with soil and burying any remaining cuttings)</v>
      </c>
      <c r="D135" s="674" t="str">
        <f>[5]A1126!$J$18</f>
        <v>$/m</v>
      </c>
      <c r="E135" s="654">
        <v>0.82067623521011746</v>
      </c>
      <c r="F135" s="654">
        <v>0</v>
      </c>
      <c r="G135" s="654">
        <v>1.6887089002267577</v>
      </c>
      <c r="H135" s="654">
        <v>0</v>
      </c>
      <c r="I135" s="655">
        <f t="shared" si="103"/>
        <v>2.509385135436875</v>
      </c>
      <c r="J135" s="645">
        <f t="shared" si="111"/>
        <v>0.82067623521011746</v>
      </c>
      <c r="K135" s="646">
        <f t="shared" si="112"/>
        <v>0</v>
      </c>
      <c r="L135" s="646">
        <f t="shared" si="113"/>
        <v>1.6887089002267577</v>
      </c>
      <c r="M135" s="646">
        <f t="shared" si="114"/>
        <v>0</v>
      </c>
      <c r="N135" s="647">
        <f t="shared" si="115"/>
        <v>2.509385135436875</v>
      </c>
      <c r="O135" s="648">
        <f t="shared" si="61"/>
        <v>0.1</v>
      </c>
      <c r="P135" s="649">
        <f t="shared" si="116"/>
        <v>2.7603236489805627</v>
      </c>
      <c r="Q135" s="650" t="str">
        <f t="shared" si="117"/>
        <v>$/m</v>
      </c>
      <c r="S135" s="902" t="str">
        <f>[5]A1122!$A$8</f>
        <v>This activity can be applied to drill holes which do not need grouting.  The hole casing is to be  cut off 1 metre below ground level, backfilled with drill cuttings and sealed with a non-degradeable plug.  Remaining cuttings are buried by excavating a small scrape adjacent to the cuttings.  The ground is then reshaped over the hole and scraped to allow natural revegetation of the area and removal of all traces of the hole.  Any and all rubbish is to be removed to an approved dump.</v>
      </c>
      <c r="AL135" s="472" t="str">
        <f t="shared" si="86"/>
        <v>A1126</v>
      </c>
      <c r="AM135" s="472" t="str">
        <f t="shared" si="87"/>
        <v>100mm Diameter Drillholes 
Machine and Labour cost to Backfill, Cap and Seal Drill Holes  (Backfill hole with cuttings etc, cut off below ground level and seal the top of the hole before covering with soil and burying any remaining cuttings)</v>
      </c>
      <c r="AN135" s="474"/>
      <c r="AO135" s="474"/>
      <c r="AP135" s="474"/>
      <c r="AQ135" s="474"/>
      <c r="AR135" s="474"/>
      <c r="AS135" s="474"/>
      <c r="AT135" s="474"/>
      <c r="AU135" s="474"/>
      <c r="AV135" s="474"/>
      <c r="AW135" s="474"/>
      <c r="AX135" s="474"/>
      <c r="AY135" s="474"/>
      <c r="AZ135" s="474"/>
      <c r="BA135" s="474"/>
      <c r="BB135" s="474"/>
      <c r="BC135" s="474"/>
      <c r="BD135" s="474"/>
    </row>
    <row r="136" spans="1:56" ht="120" x14ac:dyDescent="0.25">
      <c r="A136" s="686" t="s">
        <v>1186</v>
      </c>
      <c r="B136" s="662" t="s">
        <v>275</v>
      </c>
      <c r="C136" s="640" t="str">
        <f>[5]A1127!A$4</f>
        <v>75mm Diameter Drillholes 
Machine and Labour cost to Backfill, Cap and Seal Drill Holes  (Backfill hole with cuttings etc, cut off below ground level and seal the top of the hole before covering with soil and burying any remaining cuttings)</v>
      </c>
      <c r="D136" s="674" t="str">
        <f>[5]A1127!$J$18</f>
        <v>$/m</v>
      </c>
      <c r="E136" s="654">
        <v>0.57703797788211375</v>
      </c>
      <c r="F136" s="654">
        <v>0</v>
      </c>
      <c r="G136" s="654">
        <v>1.1873734454719387</v>
      </c>
      <c r="H136" s="654">
        <v>0</v>
      </c>
      <c r="I136" s="655">
        <f t="shared" si="103"/>
        <v>1.7644114233540524</v>
      </c>
      <c r="J136" s="645">
        <f t="shared" si="111"/>
        <v>0.57703797788211375</v>
      </c>
      <c r="K136" s="646">
        <f t="shared" si="112"/>
        <v>0</v>
      </c>
      <c r="L136" s="646">
        <f t="shared" si="113"/>
        <v>1.1873734454719387</v>
      </c>
      <c r="M136" s="646">
        <f t="shared" si="114"/>
        <v>0</v>
      </c>
      <c r="N136" s="647">
        <f t="shared" si="115"/>
        <v>1.7644114233540524</v>
      </c>
      <c r="O136" s="648">
        <f t="shared" si="61"/>
        <v>0.1</v>
      </c>
      <c r="P136" s="649">
        <f t="shared" si="116"/>
        <v>1.9408525656894577</v>
      </c>
      <c r="Q136" s="824" t="str">
        <f t="shared" si="117"/>
        <v>$/m</v>
      </c>
      <c r="S136" s="902" t="str">
        <f>[5]A1122!$A$8</f>
        <v>This activity can be applied to drill holes which do not need grouting.  The hole casing is to be  cut off 1 metre below ground level, backfilled with drill cuttings and sealed with a non-degradeable plug.  Remaining cuttings are buried by excavating a small scrape adjacent to the cuttings.  The ground is then reshaped over the hole and scraped to allow natural revegetation of the area and removal of all traces of the hole.  Any and all rubbish is to be removed to an approved dump.</v>
      </c>
      <c r="AL136" s="472" t="str">
        <f t="shared" si="86"/>
        <v>A1127</v>
      </c>
      <c r="AM136" s="472" t="str">
        <f t="shared" si="87"/>
        <v>75mm Diameter Drillholes 
Machine and Labour cost to Backfill, Cap and Seal Drill Holes  (Backfill hole with cuttings etc, cut off below ground level and seal the top of the hole before covering with soil and burying any remaining cuttings)</v>
      </c>
      <c r="AN136" s="474"/>
      <c r="AO136" s="474"/>
      <c r="AP136" s="474"/>
      <c r="AQ136" s="474"/>
      <c r="AR136" s="474"/>
      <c r="AS136" s="474"/>
      <c r="AT136" s="474"/>
      <c r="AU136" s="474"/>
      <c r="AV136" s="474"/>
      <c r="AW136" s="474"/>
      <c r="AX136" s="474"/>
      <c r="AY136" s="474"/>
      <c r="AZ136" s="474"/>
      <c r="BA136" s="474"/>
      <c r="BB136" s="474"/>
      <c r="BC136" s="474"/>
      <c r="BD136" s="474"/>
    </row>
    <row r="137" spans="1:56" ht="90" x14ac:dyDescent="0.25">
      <c r="A137" s="686" t="s">
        <v>1189</v>
      </c>
      <c r="B137" s="662" t="s">
        <v>275</v>
      </c>
      <c r="C137" s="640" t="s">
        <v>1262</v>
      </c>
      <c r="D137" s="674" t="s">
        <v>27</v>
      </c>
      <c r="E137" s="654">
        <v>0</v>
      </c>
      <c r="F137" s="654">
        <v>2072.3069714285716</v>
      </c>
      <c r="G137" s="654">
        <v>0</v>
      </c>
      <c r="H137" s="654">
        <v>0</v>
      </c>
      <c r="I137" s="655">
        <f t="shared" ref="I137:I143" si="118">SUM(E137:H137)</f>
        <v>2072.3069714285716</v>
      </c>
      <c r="J137" s="645">
        <f t="shared" ref="J137:J143" si="119">E137*J$8*J$7</f>
        <v>0</v>
      </c>
      <c r="K137" s="646">
        <f t="shared" ref="K137:K143" si="120">F137*K$8*K$7</f>
        <v>2072.3069714285716</v>
      </c>
      <c r="L137" s="646">
        <f t="shared" ref="L137:L143" si="121">G137*L$8*L$7</f>
        <v>0</v>
      </c>
      <c r="M137" s="646">
        <f t="shared" ref="M137:M143" si="122">H137*M$8*M$7</f>
        <v>0</v>
      </c>
      <c r="N137" s="647">
        <f t="shared" ref="N137:N143" si="123">SUM(J137:M137)</f>
        <v>2072.3069714285716</v>
      </c>
      <c r="O137" s="648">
        <f t="shared" si="61"/>
        <v>0.1</v>
      </c>
      <c r="P137" s="649">
        <f t="shared" ref="P137:P144" si="124">N137+(N137*O137)</f>
        <v>2279.5376685714286</v>
      </c>
      <c r="Q137" s="824" t="str">
        <f t="shared" ref="Q137:Q144" si="125">D137</f>
        <v>m3</v>
      </c>
      <c r="S137" s="492" t="s">
        <v>1268</v>
      </c>
      <c r="AL137" s="472" t="str">
        <f t="shared" si="86"/>
        <v>A1128</v>
      </c>
      <c r="AM137" s="472" t="str">
        <f t="shared" si="87"/>
        <v>260mm Diameter - Drillhole
Grout mix cost per 100m of depth for rehabilitation of drillholes through aquifer zones including 15m above and below the zone (refer to SA Earth Resources Information Sheet M21)</v>
      </c>
      <c r="AN137" s="474"/>
      <c r="AO137" s="474"/>
      <c r="AP137" s="474"/>
      <c r="AQ137" s="474"/>
      <c r="AR137" s="474"/>
      <c r="AS137" s="474"/>
      <c r="AT137" s="474"/>
      <c r="AU137" s="474"/>
      <c r="AV137" s="474"/>
      <c r="AW137" s="474"/>
      <c r="AX137" s="474"/>
      <c r="AY137" s="474"/>
      <c r="AZ137" s="474"/>
      <c r="BA137" s="474"/>
      <c r="BB137" s="474"/>
      <c r="BC137" s="474"/>
      <c r="BD137" s="474"/>
    </row>
    <row r="138" spans="1:56" ht="90" x14ac:dyDescent="0.25">
      <c r="A138" s="686" t="s">
        <v>1190</v>
      </c>
      <c r="B138" s="662" t="s">
        <v>275</v>
      </c>
      <c r="C138" s="640" t="s">
        <v>1263</v>
      </c>
      <c r="D138" s="674" t="s">
        <v>27</v>
      </c>
      <c r="E138" s="654">
        <v>0</v>
      </c>
      <c r="F138" s="654">
        <v>1226.217142857143</v>
      </c>
      <c r="G138" s="654">
        <v>0</v>
      </c>
      <c r="H138" s="654">
        <v>0</v>
      </c>
      <c r="I138" s="655">
        <f t="shared" si="118"/>
        <v>1226.217142857143</v>
      </c>
      <c r="J138" s="645">
        <f t="shared" si="119"/>
        <v>0</v>
      </c>
      <c r="K138" s="646">
        <f t="shared" si="120"/>
        <v>1226.217142857143</v>
      </c>
      <c r="L138" s="646">
        <f t="shared" si="121"/>
        <v>0</v>
      </c>
      <c r="M138" s="646">
        <f t="shared" si="122"/>
        <v>0</v>
      </c>
      <c r="N138" s="647">
        <f t="shared" si="123"/>
        <v>1226.217142857143</v>
      </c>
      <c r="O138" s="648">
        <f t="shared" si="61"/>
        <v>0.1</v>
      </c>
      <c r="P138" s="649">
        <f t="shared" si="124"/>
        <v>1348.8388571428573</v>
      </c>
      <c r="Q138" s="824" t="str">
        <f t="shared" si="125"/>
        <v>m3</v>
      </c>
      <c r="S138" s="492" t="s">
        <v>1268</v>
      </c>
      <c r="AL138" s="472" t="str">
        <f t="shared" si="86"/>
        <v>A1129</v>
      </c>
      <c r="AM138" s="472" t="str">
        <f t="shared" si="87"/>
        <v>200mm Diameter - Drillhole
Grout mix cost per 100m of depth for rehabilitation of drillholes through aquifer zones including 15m above and below the zone (refer to SA Earth Resources Information Sheet M21)</v>
      </c>
      <c r="AN138" s="474"/>
      <c r="AO138" s="474"/>
      <c r="AP138" s="474"/>
      <c r="AQ138" s="474"/>
      <c r="AR138" s="474"/>
      <c r="AS138" s="474"/>
      <c r="AT138" s="474"/>
      <c r="AU138" s="474"/>
      <c r="AV138" s="474"/>
      <c r="AW138" s="474"/>
      <c r="AX138" s="474"/>
      <c r="AY138" s="474"/>
      <c r="AZ138" s="474"/>
      <c r="BA138" s="474"/>
      <c r="BB138" s="474"/>
      <c r="BC138" s="474"/>
      <c r="BD138" s="474"/>
    </row>
    <row r="139" spans="1:56" ht="90" x14ac:dyDescent="0.25">
      <c r="A139" s="686" t="s">
        <v>1191</v>
      </c>
      <c r="B139" s="662" t="s">
        <v>275</v>
      </c>
      <c r="C139" s="640" t="s">
        <v>1264</v>
      </c>
      <c r="D139" s="674" t="s">
        <v>27</v>
      </c>
      <c r="E139" s="654">
        <v>0</v>
      </c>
      <c r="F139" s="654">
        <v>600.84640000000024</v>
      </c>
      <c r="G139" s="654">
        <v>0</v>
      </c>
      <c r="H139" s="654">
        <v>0</v>
      </c>
      <c r="I139" s="655">
        <f t="shared" si="118"/>
        <v>600.84640000000024</v>
      </c>
      <c r="J139" s="645">
        <f t="shared" si="119"/>
        <v>0</v>
      </c>
      <c r="K139" s="646">
        <f t="shared" si="120"/>
        <v>600.84640000000024</v>
      </c>
      <c r="L139" s="646">
        <f t="shared" si="121"/>
        <v>0</v>
      </c>
      <c r="M139" s="646">
        <f t="shared" si="122"/>
        <v>0</v>
      </c>
      <c r="N139" s="647">
        <f t="shared" si="123"/>
        <v>600.84640000000024</v>
      </c>
      <c r="O139" s="648">
        <f t="shared" si="61"/>
        <v>0.1</v>
      </c>
      <c r="P139" s="649">
        <f t="shared" si="124"/>
        <v>660.93104000000028</v>
      </c>
      <c r="Q139" s="824" t="str">
        <f t="shared" si="125"/>
        <v>m3</v>
      </c>
      <c r="S139" s="492" t="s">
        <v>1268</v>
      </c>
      <c r="AL139" s="472" t="str">
        <f t="shared" si="86"/>
        <v>A1130</v>
      </c>
      <c r="AM139" s="472" t="str">
        <f t="shared" si="87"/>
        <v>140mm Diameter - Drillhole
Grout mix cost per 100m of depth for rehabilitation of drillholes through aquifer zones including 15m above and below the zone (refer to SA Earth Resources Information Sheet M21)</v>
      </c>
      <c r="AN139" s="474"/>
      <c r="AO139" s="474"/>
      <c r="AP139" s="474"/>
      <c r="AQ139" s="474"/>
      <c r="AR139" s="474"/>
      <c r="AS139" s="474"/>
      <c r="AT139" s="474"/>
      <c r="AU139" s="474"/>
      <c r="AV139" s="474"/>
      <c r="AW139" s="474"/>
      <c r="AX139" s="474"/>
      <c r="AY139" s="474"/>
      <c r="AZ139" s="474"/>
      <c r="BA139" s="474"/>
      <c r="BB139" s="474"/>
      <c r="BC139" s="474"/>
      <c r="BD139" s="474"/>
    </row>
    <row r="140" spans="1:56" ht="90" x14ac:dyDescent="0.25">
      <c r="A140" s="686" t="s">
        <v>1192</v>
      </c>
      <c r="B140" s="662" t="s">
        <v>275</v>
      </c>
      <c r="C140" s="640" t="s">
        <v>1265</v>
      </c>
      <c r="D140" s="674" t="s">
        <v>27</v>
      </c>
      <c r="E140" s="654">
        <v>0</v>
      </c>
      <c r="F140" s="654">
        <v>478.99107142857144</v>
      </c>
      <c r="G140" s="654">
        <v>0</v>
      </c>
      <c r="H140" s="654">
        <v>0</v>
      </c>
      <c r="I140" s="655">
        <f t="shared" si="118"/>
        <v>478.99107142857144</v>
      </c>
      <c r="J140" s="645">
        <f t="shared" si="119"/>
        <v>0</v>
      </c>
      <c r="K140" s="646">
        <f t="shared" si="120"/>
        <v>478.99107142857144</v>
      </c>
      <c r="L140" s="646">
        <f t="shared" si="121"/>
        <v>0</v>
      </c>
      <c r="M140" s="646">
        <f t="shared" si="122"/>
        <v>0</v>
      </c>
      <c r="N140" s="647">
        <f t="shared" si="123"/>
        <v>478.99107142857144</v>
      </c>
      <c r="O140" s="648">
        <f t="shared" si="61"/>
        <v>0.1</v>
      </c>
      <c r="P140" s="649">
        <f t="shared" si="124"/>
        <v>526.89017857142858</v>
      </c>
      <c r="Q140" s="824" t="str">
        <f t="shared" si="125"/>
        <v>m3</v>
      </c>
      <c r="S140" s="492" t="s">
        <v>1268</v>
      </c>
      <c r="AL140" s="472" t="str">
        <f t="shared" si="86"/>
        <v>A1131</v>
      </c>
      <c r="AM140" s="472" t="str">
        <f t="shared" si="87"/>
        <v>125mm Diameter - Drillhole
Grout mix cost per 100m of depth for rehabilitation of drillholes through aquifer zones including 15m above and below the zone (refer to SA Earth Resources Information Sheet M21)</v>
      </c>
      <c r="AN140" s="474"/>
      <c r="AO140" s="474"/>
      <c r="AP140" s="474"/>
      <c r="AQ140" s="474"/>
      <c r="AR140" s="474"/>
      <c r="AS140" s="474"/>
      <c r="AT140" s="474"/>
      <c r="AU140" s="474"/>
      <c r="AV140" s="474"/>
      <c r="AW140" s="474"/>
      <c r="AX140" s="474"/>
      <c r="AY140" s="474"/>
      <c r="AZ140" s="474"/>
      <c r="BA140" s="474"/>
      <c r="BB140" s="474"/>
      <c r="BC140" s="474"/>
      <c r="BD140" s="474"/>
    </row>
    <row r="141" spans="1:56" ht="90" x14ac:dyDescent="0.25">
      <c r="A141" s="686" t="s">
        <v>1193</v>
      </c>
      <c r="B141" s="662" t="s">
        <v>275</v>
      </c>
      <c r="C141" s="640" t="s">
        <v>1266</v>
      </c>
      <c r="D141" s="674" t="s">
        <v>27</v>
      </c>
      <c r="E141" s="654">
        <v>0</v>
      </c>
      <c r="F141" s="654">
        <v>306.55428571428575</v>
      </c>
      <c r="G141" s="654">
        <v>0</v>
      </c>
      <c r="H141" s="654">
        <v>0</v>
      </c>
      <c r="I141" s="655">
        <f t="shared" si="118"/>
        <v>306.55428571428575</v>
      </c>
      <c r="J141" s="645">
        <f t="shared" si="119"/>
        <v>0</v>
      </c>
      <c r="K141" s="646">
        <f t="shared" si="120"/>
        <v>306.55428571428575</v>
      </c>
      <c r="L141" s="646">
        <f t="shared" si="121"/>
        <v>0</v>
      </c>
      <c r="M141" s="646">
        <f t="shared" si="122"/>
        <v>0</v>
      </c>
      <c r="N141" s="647">
        <f t="shared" si="123"/>
        <v>306.55428571428575</v>
      </c>
      <c r="O141" s="648">
        <f t="shared" si="61"/>
        <v>0.1</v>
      </c>
      <c r="P141" s="649">
        <f t="shared" si="124"/>
        <v>337.20971428571431</v>
      </c>
      <c r="Q141" s="824" t="str">
        <f t="shared" si="125"/>
        <v>m3</v>
      </c>
      <c r="S141" s="492" t="s">
        <v>1268</v>
      </c>
      <c r="AL141" s="472" t="str">
        <f>A142</f>
        <v>A1133</v>
      </c>
      <c r="AM141" s="472" t="str">
        <f t="shared" si="87"/>
        <v>100mm Diameter - Drillhole
Grout mix cost per 100m of depth for rehabilitation of drillholes through aquifer zones including 15m above and below the zone (refer to SA Earth Resources Information Sheet M21)</v>
      </c>
      <c r="AN141" s="474"/>
      <c r="AO141" s="474"/>
      <c r="AP141" s="474"/>
      <c r="AQ141" s="474"/>
      <c r="AR141" s="474"/>
      <c r="AS141" s="474"/>
      <c r="AT141" s="474"/>
      <c r="AU141" s="474"/>
      <c r="AV141" s="474"/>
      <c r="AW141" s="474"/>
      <c r="AX141" s="474"/>
      <c r="AY141" s="474"/>
      <c r="AZ141" s="474"/>
      <c r="BA141" s="474"/>
      <c r="BB141" s="474"/>
      <c r="BC141" s="474"/>
      <c r="BD141" s="474"/>
    </row>
    <row r="142" spans="1:56" ht="90" x14ac:dyDescent="0.25">
      <c r="A142" s="686" t="s">
        <v>1194</v>
      </c>
      <c r="B142" s="662" t="s">
        <v>275</v>
      </c>
      <c r="C142" s="640" t="s">
        <v>1267</v>
      </c>
      <c r="D142" s="674" t="s">
        <v>27</v>
      </c>
      <c r="E142" s="654">
        <v>0</v>
      </c>
      <c r="F142" s="654">
        <v>172.43678571428572</v>
      </c>
      <c r="G142" s="654">
        <v>0</v>
      </c>
      <c r="H142" s="654">
        <v>0</v>
      </c>
      <c r="I142" s="655">
        <f t="shared" si="118"/>
        <v>172.43678571428572</v>
      </c>
      <c r="J142" s="645">
        <f t="shared" si="119"/>
        <v>0</v>
      </c>
      <c r="K142" s="646">
        <f t="shared" si="120"/>
        <v>172.43678571428572</v>
      </c>
      <c r="L142" s="646">
        <f t="shared" si="121"/>
        <v>0</v>
      </c>
      <c r="M142" s="646">
        <f t="shared" si="122"/>
        <v>0</v>
      </c>
      <c r="N142" s="647">
        <f t="shared" si="123"/>
        <v>172.43678571428572</v>
      </c>
      <c r="O142" s="648">
        <f t="shared" si="61"/>
        <v>0.1</v>
      </c>
      <c r="P142" s="649">
        <f t="shared" si="124"/>
        <v>189.68046428571429</v>
      </c>
      <c r="Q142" s="824" t="str">
        <f t="shared" si="125"/>
        <v>m3</v>
      </c>
      <c r="S142" s="492" t="s">
        <v>1268</v>
      </c>
      <c r="AL142" s="472" t="str">
        <f>A144</f>
        <v>A1135</v>
      </c>
      <c r="AM142" s="472" t="str">
        <f t="shared" si="87"/>
        <v>75mm Diameter - Drillhole
Grout mix cost per 100m of depth for rehabilitation of drillholes through aquifer zones including 15m above and below the zone (refer to SA Earth Resources Information Sheet M21)</v>
      </c>
      <c r="AN142" s="474"/>
      <c r="AO142" s="474"/>
      <c r="AP142" s="474"/>
      <c r="AQ142" s="474"/>
      <c r="AR142" s="474"/>
      <c r="AS142" s="474"/>
      <c r="AT142" s="474"/>
      <c r="AU142" s="474"/>
      <c r="AV142" s="474"/>
      <c r="AW142" s="474"/>
      <c r="AX142" s="474"/>
      <c r="AY142" s="474"/>
      <c r="AZ142" s="474"/>
      <c r="BA142" s="474"/>
      <c r="BB142" s="474"/>
      <c r="BC142" s="474"/>
      <c r="BD142" s="474"/>
    </row>
    <row r="143" spans="1:56" ht="45" x14ac:dyDescent="0.25">
      <c r="A143" s="686" t="s">
        <v>1213</v>
      </c>
      <c r="B143" s="662" t="s">
        <v>275</v>
      </c>
      <c r="C143" s="640" t="s">
        <v>1247</v>
      </c>
      <c r="D143" s="674" t="s">
        <v>1250</v>
      </c>
      <c r="E143" s="654">
        <v>146.36390923957481</v>
      </c>
      <c r="F143" s="654">
        <v>0</v>
      </c>
      <c r="G143" s="654">
        <v>87.045267857142861</v>
      </c>
      <c r="H143" s="654">
        <v>0</v>
      </c>
      <c r="I143" s="655">
        <f t="shared" si="118"/>
        <v>233.40917709671766</v>
      </c>
      <c r="J143" s="645">
        <f t="shared" si="119"/>
        <v>146.36390923957481</v>
      </c>
      <c r="K143" s="646">
        <f t="shared" si="120"/>
        <v>0</v>
      </c>
      <c r="L143" s="646">
        <f t="shared" si="121"/>
        <v>87.045267857142861</v>
      </c>
      <c r="M143" s="646">
        <f t="shared" si="122"/>
        <v>0</v>
      </c>
      <c r="N143" s="647">
        <f t="shared" si="123"/>
        <v>233.40917709671766</v>
      </c>
      <c r="O143" s="648">
        <f t="shared" si="61"/>
        <v>0.1</v>
      </c>
      <c r="P143" s="649">
        <f t="shared" si="124"/>
        <v>256.75009480638943</v>
      </c>
      <c r="Q143" s="824" t="s">
        <v>1251</v>
      </c>
      <c r="R143"/>
      <c r="S143" s="878" t="s">
        <v>1195</v>
      </c>
      <c r="AL143" s="472"/>
      <c r="AM143" s="472"/>
      <c r="AN143" s="474"/>
      <c r="AO143" s="474"/>
      <c r="AP143" s="474"/>
      <c r="AQ143" s="474"/>
      <c r="AR143" s="474"/>
      <c r="AS143" s="474"/>
      <c r="AT143" s="474"/>
      <c r="AU143" s="474"/>
      <c r="AV143" s="474"/>
      <c r="AW143" s="474"/>
      <c r="AX143" s="474"/>
      <c r="AY143" s="474"/>
      <c r="AZ143" s="474"/>
      <c r="BA143" s="474"/>
      <c r="BB143" s="474"/>
      <c r="BC143" s="474"/>
      <c r="BD143" s="474"/>
    </row>
    <row r="144" spans="1:56" ht="42" customHeight="1" x14ac:dyDescent="0.25">
      <c r="A144" s="686" t="s">
        <v>1249</v>
      </c>
      <c r="B144" s="662" t="s">
        <v>275</v>
      </c>
      <c r="C144" s="640" t="s">
        <v>1248</v>
      </c>
      <c r="D144" s="674" t="s">
        <v>12</v>
      </c>
      <c r="E144" s="654">
        <v>0</v>
      </c>
      <c r="F144" s="654">
        <v>150</v>
      </c>
      <c r="G144" s="654">
        <v>0</v>
      </c>
      <c r="H144" s="654">
        <v>0</v>
      </c>
      <c r="I144" s="655">
        <f t="shared" ref="I144" si="126">SUM(E144:H144)</f>
        <v>150</v>
      </c>
      <c r="J144" s="645">
        <f t="shared" ref="J144" si="127">E144*J$8*J$7</f>
        <v>0</v>
      </c>
      <c r="K144" s="646">
        <f t="shared" ref="K144" si="128">F144*K$8*K$7</f>
        <v>150</v>
      </c>
      <c r="L144" s="646">
        <f t="shared" ref="L144" si="129">G144*L$8*L$7</f>
        <v>0</v>
      </c>
      <c r="M144" s="646">
        <f t="shared" ref="M144" si="130">H144*M$8*M$7</f>
        <v>0</v>
      </c>
      <c r="N144" s="647">
        <f t="shared" ref="N144" si="131">SUM(J144:M144)</f>
        <v>150</v>
      </c>
      <c r="O144" s="648">
        <f t="shared" si="61"/>
        <v>0.1</v>
      </c>
      <c r="P144" s="649">
        <f t="shared" si="124"/>
        <v>165</v>
      </c>
      <c r="Q144" s="824" t="str">
        <f t="shared" si="125"/>
        <v>Item</v>
      </c>
      <c r="S144" s="492" t="str">
        <f>[4]A1135!$A$8</f>
        <v>Plus required to seal drill hole beneath an aquifer prior to grouting</v>
      </c>
      <c r="AL144" s="472" t="e">
        <f>#REF!</f>
        <v>#REF!</v>
      </c>
      <c r="AM144" s="472" t="str">
        <f t="shared" si="87"/>
        <v>Van Ruth Plug Seal for Grouting Exploration Drillhole through Aquifers</v>
      </c>
      <c r="AN144" s="474"/>
      <c r="AO144" s="474"/>
      <c r="AP144" s="474"/>
      <c r="AQ144" s="474"/>
      <c r="AR144" s="474"/>
      <c r="AS144" s="474"/>
      <c r="AT144" s="474"/>
      <c r="AU144" s="474"/>
      <c r="AV144" s="474"/>
      <c r="AW144" s="474"/>
      <c r="AX144" s="474"/>
      <c r="AY144" s="474"/>
      <c r="AZ144" s="474"/>
      <c r="BA144" s="474"/>
      <c r="BB144" s="474"/>
      <c r="BC144" s="474"/>
      <c r="BD144" s="474"/>
    </row>
    <row r="145" spans="1:56" ht="49.5" customHeight="1" x14ac:dyDescent="0.25">
      <c r="A145" s="686" t="s">
        <v>1254</v>
      </c>
      <c r="B145" s="662" t="s">
        <v>275</v>
      </c>
      <c r="C145" s="640" t="s">
        <v>1259</v>
      </c>
      <c r="D145" s="674" t="s">
        <v>27</v>
      </c>
      <c r="E145" s="654">
        <v>0</v>
      </c>
      <c r="F145" s="654">
        <v>32</v>
      </c>
      <c r="G145" s="654">
        <v>0</v>
      </c>
      <c r="H145" s="654">
        <v>0</v>
      </c>
      <c r="I145" s="655">
        <f t="shared" ref="I145" si="132">SUM(E145:H145)</f>
        <v>32</v>
      </c>
      <c r="J145" s="645">
        <f t="shared" ref="J145" si="133">E145*J$8*J$7</f>
        <v>0</v>
      </c>
      <c r="K145" s="646">
        <f t="shared" ref="K145" si="134">F145*K$8*K$7</f>
        <v>32</v>
      </c>
      <c r="L145" s="646">
        <f t="shared" ref="L145" si="135">G145*L$8*L$7</f>
        <v>0</v>
      </c>
      <c r="M145" s="646">
        <f t="shared" ref="M145" si="136">H145*M$8*M$7</f>
        <v>0</v>
      </c>
      <c r="N145" s="647">
        <f t="shared" ref="N145" si="137">SUM(J145:M145)</f>
        <v>32</v>
      </c>
      <c r="O145" s="648">
        <f t="shared" si="61"/>
        <v>0.1</v>
      </c>
      <c r="P145" s="649">
        <f t="shared" ref="P145" si="138">N145+(N145*O145)</f>
        <v>35.200000000000003</v>
      </c>
      <c r="Q145" s="824" t="str">
        <f t="shared" ref="Q145" si="139">D145</f>
        <v>m3</v>
      </c>
      <c r="S145" s="492" t="str">
        <f>[4]A1136!$A$8</f>
        <v>The activity is applied where material is not avalable onsite for the backfill of drillholes - particularly for diamond drillholes</v>
      </c>
      <c r="AL145" s="472" t="str">
        <f t="shared" si="86"/>
        <v>A1136</v>
      </c>
      <c r="AM145" s="472" t="str">
        <f t="shared" si="87"/>
        <v>Purchase and delivery of imported backfill for drillholes where material needs to be transported from an offsite source</v>
      </c>
      <c r="AN145" s="474"/>
      <c r="AO145" s="474"/>
      <c r="AP145" s="474"/>
      <c r="AQ145" s="474"/>
      <c r="AR145" s="474"/>
      <c r="AS145" s="474"/>
      <c r="AT145" s="474"/>
      <c r="AU145" s="474"/>
      <c r="AV145" s="474"/>
      <c r="AW145" s="474"/>
      <c r="AX145" s="474"/>
      <c r="AY145" s="474"/>
      <c r="AZ145" s="474"/>
      <c r="BA145" s="474"/>
      <c r="BB145" s="474"/>
      <c r="BC145" s="474"/>
      <c r="BD145" s="474"/>
    </row>
    <row r="146" spans="1:56" ht="42" customHeight="1" x14ac:dyDescent="0.25">
      <c r="A146" s="686"/>
      <c r="B146" s="662"/>
      <c r="C146" s="640"/>
      <c r="D146" s="674"/>
      <c r="E146" s="654"/>
      <c r="F146" s="654"/>
      <c r="G146" s="654"/>
      <c r="H146" s="654"/>
      <c r="I146" s="655"/>
      <c r="J146" s="645"/>
      <c r="K146" s="646"/>
      <c r="L146" s="646"/>
      <c r="M146" s="646"/>
      <c r="N146" s="647"/>
      <c r="O146" s="648"/>
      <c r="P146" s="649"/>
      <c r="Q146" s="650"/>
      <c r="S146" s="492"/>
      <c r="AL146" s="472">
        <f t="shared" si="86"/>
        <v>0</v>
      </c>
      <c r="AM146" s="472">
        <f t="shared" si="87"/>
        <v>0</v>
      </c>
      <c r="AN146" s="474"/>
      <c r="AO146" s="474"/>
      <c r="AP146" s="474"/>
      <c r="AQ146" s="474"/>
      <c r="AR146" s="474"/>
      <c r="AS146" s="474"/>
      <c r="AT146" s="474"/>
      <c r="AU146" s="474"/>
      <c r="AV146" s="474"/>
      <c r="AW146" s="474"/>
      <c r="AX146" s="474"/>
      <c r="AY146" s="474"/>
      <c r="AZ146" s="474"/>
      <c r="BA146" s="474"/>
      <c r="BB146" s="474"/>
      <c r="BC146" s="474"/>
      <c r="BD146" s="474"/>
    </row>
    <row r="147" spans="1:56" ht="42" customHeight="1" x14ac:dyDescent="0.25">
      <c r="A147" s="686"/>
      <c r="B147" s="662"/>
      <c r="C147" s="640"/>
      <c r="D147" s="674"/>
      <c r="E147" s="654"/>
      <c r="F147" s="654"/>
      <c r="G147" s="654"/>
      <c r="H147" s="654"/>
      <c r="I147" s="655"/>
      <c r="J147" s="645"/>
      <c r="K147" s="646"/>
      <c r="L147" s="646"/>
      <c r="M147" s="646"/>
      <c r="N147" s="647"/>
      <c r="O147" s="648"/>
      <c r="P147" s="649"/>
      <c r="Q147" s="650"/>
      <c r="S147" s="492"/>
      <c r="AL147" s="472">
        <f t="shared" si="86"/>
        <v>0</v>
      </c>
      <c r="AM147" s="472">
        <f t="shared" si="87"/>
        <v>0</v>
      </c>
      <c r="AN147" s="474"/>
      <c r="AO147" s="474"/>
      <c r="AP147" s="474"/>
      <c r="AQ147" s="474"/>
      <c r="AR147" s="474"/>
      <c r="AS147" s="474"/>
      <c r="AT147" s="474"/>
      <c r="AU147" s="474"/>
      <c r="AV147" s="474"/>
      <c r="AW147" s="474"/>
      <c r="AX147" s="474"/>
      <c r="AY147" s="474"/>
      <c r="AZ147" s="474"/>
      <c r="BA147" s="474"/>
      <c r="BB147" s="474"/>
      <c r="BC147" s="474"/>
      <c r="BD147" s="474"/>
    </row>
    <row r="148" spans="1:56" ht="42" customHeight="1" x14ac:dyDescent="0.25">
      <c r="A148" s="686"/>
      <c r="B148" s="662"/>
      <c r="C148" s="640"/>
      <c r="D148" s="674"/>
      <c r="E148" s="654"/>
      <c r="F148" s="654"/>
      <c r="G148" s="654"/>
      <c r="H148" s="654"/>
      <c r="I148" s="655"/>
      <c r="J148" s="645"/>
      <c r="K148" s="646"/>
      <c r="L148" s="646"/>
      <c r="M148" s="646"/>
      <c r="N148" s="647"/>
      <c r="O148" s="648"/>
      <c r="P148" s="649"/>
      <c r="Q148" s="650"/>
      <c r="S148" s="492"/>
      <c r="AL148" s="472">
        <f t="shared" si="86"/>
        <v>0</v>
      </c>
      <c r="AM148" s="472">
        <f t="shared" si="87"/>
        <v>0</v>
      </c>
      <c r="AN148" s="474"/>
      <c r="AO148" s="474"/>
      <c r="AP148" s="474"/>
      <c r="AQ148" s="474"/>
      <c r="AR148" s="474"/>
      <c r="AS148" s="474"/>
      <c r="AT148" s="474"/>
      <c r="AU148" s="474"/>
      <c r="AV148" s="474"/>
      <c r="AW148" s="474"/>
      <c r="AX148" s="474"/>
      <c r="AY148" s="474"/>
      <c r="AZ148" s="474"/>
      <c r="BA148" s="474"/>
      <c r="BB148" s="474"/>
      <c r="BC148" s="474"/>
      <c r="BD148" s="474"/>
    </row>
    <row r="149" spans="1:56" ht="42" customHeight="1" x14ac:dyDescent="0.25">
      <c r="A149" s="686"/>
      <c r="B149" s="662"/>
      <c r="C149" s="640"/>
      <c r="D149" s="674"/>
      <c r="E149" s="654"/>
      <c r="F149" s="654"/>
      <c r="G149" s="654"/>
      <c r="H149" s="654"/>
      <c r="I149" s="655"/>
      <c r="J149" s="645"/>
      <c r="K149" s="646"/>
      <c r="L149" s="646"/>
      <c r="M149" s="646"/>
      <c r="N149" s="647"/>
      <c r="O149" s="648"/>
      <c r="P149" s="649"/>
      <c r="Q149" s="650"/>
      <c r="S149" s="492"/>
      <c r="AL149" s="472">
        <f t="shared" si="86"/>
        <v>0</v>
      </c>
      <c r="AM149" s="472">
        <f t="shared" si="87"/>
        <v>0</v>
      </c>
      <c r="AN149" s="474"/>
      <c r="AO149" s="474"/>
      <c r="AP149" s="474"/>
      <c r="AQ149" s="474"/>
      <c r="AR149" s="474"/>
      <c r="AS149" s="474"/>
      <c r="AT149" s="474"/>
      <c r="AU149" s="474"/>
      <c r="AV149" s="474"/>
      <c r="AW149" s="474"/>
      <c r="AX149" s="474"/>
      <c r="AY149" s="474"/>
      <c r="AZ149" s="474"/>
      <c r="BA149" s="474"/>
      <c r="BB149" s="474"/>
      <c r="BC149" s="474"/>
      <c r="BD149" s="474"/>
    </row>
    <row r="150" spans="1:56" ht="42" customHeight="1" x14ac:dyDescent="0.25">
      <c r="A150" s="686"/>
      <c r="B150" s="662"/>
      <c r="C150" s="640"/>
      <c r="D150" s="674"/>
      <c r="E150" s="654"/>
      <c r="F150" s="654"/>
      <c r="G150" s="654"/>
      <c r="H150" s="654"/>
      <c r="I150" s="655"/>
      <c r="J150" s="645"/>
      <c r="K150" s="646"/>
      <c r="L150" s="646"/>
      <c r="M150" s="646"/>
      <c r="N150" s="647"/>
      <c r="O150" s="648"/>
      <c r="P150" s="649"/>
      <c r="Q150" s="650"/>
      <c r="S150" s="492"/>
      <c r="AL150" s="472">
        <f t="shared" si="86"/>
        <v>0</v>
      </c>
      <c r="AM150" s="472">
        <f t="shared" si="87"/>
        <v>0</v>
      </c>
      <c r="AN150" s="474"/>
      <c r="AO150" s="474"/>
      <c r="AP150" s="474"/>
      <c r="AQ150" s="474"/>
      <c r="AR150" s="474"/>
      <c r="AS150" s="474"/>
      <c r="AT150" s="474"/>
      <c r="AU150" s="474"/>
      <c r="AV150" s="474"/>
      <c r="AW150" s="474"/>
      <c r="AX150" s="474"/>
      <c r="AY150" s="474"/>
      <c r="AZ150" s="474"/>
      <c r="BA150" s="474"/>
      <c r="BB150" s="474"/>
      <c r="BC150" s="474"/>
      <c r="BD150" s="474"/>
    </row>
    <row r="151" spans="1:56" ht="42" customHeight="1" x14ac:dyDescent="0.25">
      <c r="A151" s="686"/>
      <c r="B151" s="662"/>
      <c r="C151" s="640"/>
      <c r="D151" s="674"/>
      <c r="E151" s="654"/>
      <c r="F151" s="654"/>
      <c r="G151" s="654"/>
      <c r="H151" s="654"/>
      <c r="I151" s="655"/>
      <c r="J151" s="645"/>
      <c r="K151" s="646"/>
      <c r="L151" s="646"/>
      <c r="M151" s="646"/>
      <c r="N151" s="647"/>
      <c r="O151" s="648"/>
      <c r="P151" s="649"/>
      <c r="Q151" s="650"/>
      <c r="S151" s="492"/>
      <c r="AL151" s="472">
        <f t="shared" si="86"/>
        <v>0</v>
      </c>
      <c r="AM151" s="472">
        <f t="shared" si="87"/>
        <v>0</v>
      </c>
      <c r="AN151" s="474"/>
      <c r="AO151" s="474"/>
      <c r="AP151" s="474"/>
      <c r="AQ151" s="474"/>
      <c r="AR151" s="474"/>
      <c r="AS151" s="474"/>
      <c r="AT151" s="474"/>
      <c r="AU151" s="474"/>
      <c r="AV151" s="474"/>
      <c r="AW151" s="474"/>
      <c r="AX151" s="474"/>
      <c r="AY151" s="474"/>
      <c r="AZ151" s="474"/>
      <c r="BA151" s="474"/>
      <c r="BB151" s="474"/>
      <c r="BC151" s="474"/>
      <c r="BD151" s="474"/>
    </row>
    <row r="152" spans="1:56" ht="42" customHeight="1" thickBot="1" x14ac:dyDescent="0.3">
      <c r="A152" s="687"/>
      <c r="B152" s="688"/>
      <c r="C152" s="689"/>
      <c r="D152" s="690"/>
      <c r="E152" s="691"/>
      <c r="F152" s="691"/>
      <c r="G152" s="691"/>
      <c r="H152" s="691"/>
      <c r="I152" s="692"/>
      <c r="J152" s="693"/>
      <c r="K152" s="694"/>
      <c r="L152" s="694"/>
      <c r="M152" s="694"/>
      <c r="N152" s="695"/>
      <c r="O152" s="696"/>
      <c r="P152" s="697"/>
      <c r="Q152" s="698"/>
      <c r="S152" s="492"/>
      <c r="AL152" s="472">
        <f t="shared" si="86"/>
        <v>0</v>
      </c>
      <c r="AM152" s="472">
        <f t="shared" si="87"/>
        <v>0</v>
      </c>
      <c r="AN152" s="474"/>
      <c r="AO152" s="474"/>
      <c r="AP152" s="474"/>
      <c r="AQ152" s="474"/>
      <c r="AR152" s="474"/>
      <c r="AS152" s="474"/>
      <c r="AT152" s="474"/>
      <c r="AU152" s="474"/>
      <c r="AV152" s="474"/>
      <c r="AW152" s="474"/>
      <c r="AX152" s="474"/>
      <c r="AY152" s="474"/>
      <c r="AZ152" s="474"/>
      <c r="BA152" s="474"/>
      <c r="BB152" s="474"/>
      <c r="BC152" s="474"/>
      <c r="BD152" s="474"/>
    </row>
  </sheetData>
  <sheetProtection algorithmName="SHA-512" hashValue="xfgg4HVKktni/Yy7Ki8qo6Shk9idiU46S2lkclK3EB6qlZyZaZ9AGVMAKacUr4zHqm5+n0mT+VaK4yKsJIy84Q==" saltValue="vVw+vDQOueBL2cLVgSiEzA==" spinCount="100000" sheet="1" selectLockedCells="1"/>
  <mergeCells count="24">
    <mergeCell ref="AY6:AY9"/>
    <mergeCell ref="AZ6:AZ9"/>
    <mergeCell ref="BA6:BA9"/>
    <mergeCell ref="BD6:BD9"/>
    <mergeCell ref="BB6:BB9"/>
    <mergeCell ref="BC6:BC9"/>
    <mergeCell ref="AS6:AS9"/>
    <mergeCell ref="AT6:AT9"/>
    <mergeCell ref="AV6:AV9"/>
    <mergeCell ref="AW6:AW9"/>
    <mergeCell ref="AX6:AX9"/>
    <mergeCell ref="AU6:AU9"/>
    <mergeCell ref="AN6:AN9"/>
    <mergeCell ref="AO6:AO9"/>
    <mergeCell ref="AP6:AP9"/>
    <mergeCell ref="AQ6:AQ9"/>
    <mergeCell ref="AR6:AR9"/>
    <mergeCell ref="A3:I3"/>
    <mergeCell ref="A5:I5"/>
    <mergeCell ref="F8:G8"/>
    <mergeCell ref="O6:O7"/>
    <mergeCell ref="P6:Q7"/>
    <mergeCell ref="J6:N6"/>
    <mergeCell ref="F7:G7"/>
  </mergeCells>
  <phoneticPr fontId="56" type="noConversion"/>
  <pageMargins left="0.11811023622047245" right="0.11811023622047245" top="0.35433070866141736" bottom="0.55118110236220474" header="0.31496062992125984" footer="0.31496062992125984"/>
  <pageSetup paperSize="9" scale="14" fitToHeight="5" orientation="portrait" r:id="rId1"/>
  <headerFooter>
    <oddHeader>&amp;C&amp;"Arial"&amp;12&amp;KA80000 OFFICIAL&amp;1#_x000D_</oddHeader>
    <oddFooter>&amp;L&amp;Z
&amp;F&amp;C&amp;A Page &amp;P of &amp;N&amp;R&amp;D</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G93"/>
  <sheetViews>
    <sheetView showGridLines="0" zoomScale="90" zoomScaleNormal="90" workbookViewId="0">
      <pane ySplit="10" topLeftCell="A11" activePane="bottomLeft" state="frozen"/>
      <selection pane="bottomLeft" activeCell="H2" sqref="H2:K3"/>
    </sheetView>
  </sheetViews>
  <sheetFormatPr defaultColWidth="9.140625" defaultRowHeight="15" x14ac:dyDescent="0.25"/>
  <cols>
    <col min="1" max="5" width="9.140625" style="408"/>
    <col min="6" max="6" width="18.5703125" style="408" customWidth="1"/>
    <col min="7" max="7" width="3.7109375" style="408" customWidth="1"/>
    <col min="8" max="8" width="9.140625" style="408"/>
    <col min="9" max="9" width="15.28515625" style="408" customWidth="1"/>
    <col min="10" max="10" width="20.7109375" style="408" customWidth="1"/>
    <col min="11" max="16384" width="9.140625" style="408"/>
  </cols>
  <sheetData>
    <row r="1" spans="1:33" ht="15" customHeight="1" x14ac:dyDescent="0.25">
      <c r="A1" s="405"/>
      <c r="B1" s="405"/>
      <c r="C1" s="405"/>
      <c r="D1" s="405"/>
      <c r="E1" s="405"/>
      <c r="F1" s="405"/>
      <c r="G1" s="405"/>
      <c r="H1" s="406" t="s">
        <v>481</v>
      </c>
      <c r="I1" s="407"/>
      <c r="J1" s="407"/>
      <c r="K1" s="407"/>
      <c r="L1" s="406"/>
      <c r="M1" s="405"/>
      <c r="N1" s="405"/>
      <c r="O1" s="405"/>
      <c r="P1" s="405"/>
      <c r="Q1" s="405"/>
      <c r="R1" s="405"/>
      <c r="S1" s="405"/>
      <c r="T1" s="405"/>
      <c r="U1" s="405"/>
      <c r="V1" s="405"/>
      <c r="W1" s="405"/>
      <c r="X1" s="405"/>
      <c r="Y1" s="405"/>
      <c r="Z1" s="405"/>
      <c r="AA1" s="405"/>
      <c r="AB1" s="405"/>
      <c r="AC1" s="405"/>
      <c r="AD1" s="405"/>
      <c r="AE1" s="405"/>
      <c r="AF1" s="405"/>
      <c r="AG1" s="405"/>
    </row>
    <row r="2" spans="1:33" ht="68.25" customHeight="1" x14ac:dyDescent="0.25">
      <c r="A2" s="405"/>
      <c r="B2" s="405"/>
      <c r="C2" s="405"/>
      <c r="D2" s="405"/>
      <c r="E2" s="405"/>
      <c r="F2" s="405"/>
      <c r="G2" s="405"/>
      <c r="H2" s="1126"/>
      <c r="I2" s="1127"/>
      <c r="J2" s="1127"/>
      <c r="K2" s="1128"/>
      <c r="L2" s="405"/>
      <c r="M2" s="405"/>
      <c r="N2" s="405"/>
      <c r="O2" s="405"/>
      <c r="P2" s="405"/>
      <c r="Q2" s="405"/>
      <c r="R2" s="405"/>
      <c r="S2" s="405"/>
      <c r="T2" s="405"/>
      <c r="U2" s="405"/>
      <c r="V2" s="405"/>
      <c r="W2" s="405"/>
      <c r="X2" s="405"/>
      <c r="Y2" s="405"/>
      <c r="Z2" s="405"/>
      <c r="AA2" s="405"/>
      <c r="AB2" s="405"/>
      <c r="AC2" s="405"/>
      <c r="AD2" s="405"/>
      <c r="AE2" s="405"/>
      <c r="AF2" s="405"/>
      <c r="AG2" s="405"/>
    </row>
    <row r="3" spans="1:33" ht="15" customHeight="1" x14ac:dyDescent="0.25">
      <c r="A3" s="405"/>
      <c r="B3" s="405"/>
      <c r="C3" s="405"/>
      <c r="D3" s="405"/>
      <c r="E3" s="405"/>
      <c r="F3" s="405"/>
      <c r="G3" s="405"/>
      <c r="H3" s="1129"/>
      <c r="I3" s="1130"/>
      <c r="J3" s="1130"/>
      <c r="K3" s="1131"/>
      <c r="L3" s="405"/>
      <c r="M3" s="405"/>
      <c r="N3" s="405"/>
      <c r="O3" s="405"/>
      <c r="P3" s="405"/>
      <c r="Q3" s="405"/>
      <c r="R3" s="405"/>
      <c r="S3" s="405"/>
      <c r="T3" s="405"/>
      <c r="U3" s="405"/>
      <c r="V3" s="405"/>
      <c r="W3" s="405"/>
      <c r="X3" s="405"/>
      <c r="Y3" s="405"/>
      <c r="Z3" s="405"/>
      <c r="AA3" s="405"/>
      <c r="AB3" s="405"/>
      <c r="AC3" s="405"/>
      <c r="AD3" s="405"/>
      <c r="AE3" s="405"/>
      <c r="AF3" s="405"/>
      <c r="AG3" s="405"/>
    </row>
    <row r="4" spans="1:33" ht="8.25" customHeight="1" x14ac:dyDescent="0.25">
      <c r="A4" s="405"/>
      <c r="B4" s="405"/>
      <c r="C4" s="405"/>
      <c r="D4" s="405"/>
      <c r="E4" s="405"/>
      <c r="F4" s="405"/>
      <c r="G4" s="405"/>
      <c r="H4" s="405"/>
      <c r="I4" s="405"/>
      <c r="J4" s="405"/>
      <c r="K4" s="405"/>
      <c r="L4" s="405"/>
      <c r="M4" s="405"/>
      <c r="N4" s="405"/>
      <c r="O4" s="405"/>
      <c r="P4" s="405"/>
      <c r="Q4" s="405"/>
      <c r="R4" s="405"/>
      <c r="S4" s="405"/>
      <c r="T4" s="405"/>
      <c r="U4" s="405"/>
      <c r="V4" s="405"/>
      <c r="W4" s="405"/>
      <c r="X4" s="405"/>
      <c r="Y4" s="405"/>
      <c r="Z4" s="405"/>
      <c r="AA4" s="405"/>
      <c r="AB4" s="405"/>
      <c r="AC4" s="405"/>
      <c r="AD4" s="405"/>
      <c r="AE4" s="405"/>
      <c r="AF4" s="405"/>
      <c r="AG4" s="405"/>
    </row>
    <row r="5" spans="1:33" ht="7.5" customHeight="1" x14ac:dyDescent="0.25">
      <c r="A5" s="405"/>
      <c r="B5" s="405"/>
      <c r="C5" s="405"/>
      <c r="D5" s="405"/>
      <c r="E5" s="405"/>
      <c r="F5" s="405"/>
      <c r="G5" s="405"/>
      <c r="H5" s="405"/>
      <c r="I5" s="405"/>
      <c r="J5" s="405"/>
      <c r="K5" s="405"/>
      <c r="L5" s="405"/>
      <c r="M5" s="405"/>
      <c r="N5" s="405"/>
      <c r="O5" s="405"/>
      <c r="P5" s="405"/>
      <c r="Q5" s="405"/>
      <c r="R5" s="405"/>
      <c r="S5" s="405"/>
      <c r="T5" s="405"/>
      <c r="U5" s="405"/>
      <c r="V5" s="405"/>
      <c r="W5" s="405"/>
      <c r="X5" s="405"/>
      <c r="Y5" s="405"/>
      <c r="Z5" s="405"/>
      <c r="AA5" s="405"/>
      <c r="AB5" s="405"/>
      <c r="AC5" s="405"/>
      <c r="AD5" s="405"/>
      <c r="AE5" s="405"/>
      <c r="AF5" s="405"/>
      <c r="AG5" s="405"/>
    </row>
    <row r="6" spans="1:33" ht="26.25" x14ac:dyDescent="0.4">
      <c r="A6" s="409" t="s">
        <v>952</v>
      </c>
      <c r="B6" s="405"/>
      <c r="C6" s="405"/>
      <c r="D6" s="405"/>
      <c r="E6" s="405"/>
      <c r="F6" s="405"/>
      <c r="G6" s="405"/>
      <c r="H6" s="405"/>
      <c r="I6" s="405"/>
      <c r="J6" s="405"/>
      <c r="K6" s="405"/>
      <c r="L6" s="405"/>
      <c r="M6" s="405"/>
      <c r="N6" s="405"/>
      <c r="O6" s="405"/>
      <c r="P6" s="405"/>
      <c r="Q6" s="405"/>
      <c r="R6" s="405"/>
      <c r="S6" s="405"/>
      <c r="T6" s="405"/>
      <c r="U6" s="405"/>
      <c r="V6" s="405"/>
      <c r="W6" s="405"/>
      <c r="X6" s="405"/>
      <c r="Y6" s="405"/>
      <c r="Z6" s="405"/>
      <c r="AA6" s="405"/>
      <c r="AB6" s="405"/>
      <c r="AC6" s="405"/>
      <c r="AD6" s="405"/>
      <c r="AE6" s="405"/>
      <c r="AF6" s="405"/>
      <c r="AG6" s="405"/>
    </row>
    <row r="7" spans="1:33" x14ac:dyDescent="0.25">
      <c r="A7" s="1103" t="s">
        <v>265</v>
      </c>
      <c r="B7" s="1103"/>
      <c r="C7" s="1110">
        <f>'Version Control'!B50</f>
        <v>7</v>
      </c>
      <c r="D7" s="1110"/>
      <c r="E7" s="410"/>
      <c r="F7" s="410"/>
      <c r="G7" s="410"/>
      <c r="H7" s="410"/>
      <c r="I7" s="410"/>
      <c r="J7" s="410"/>
      <c r="K7" s="410"/>
      <c r="L7" s="410"/>
      <c r="M7" s="405"/>
      <c r="N7" s="405"/>
      <c r="O7" s="405"/>
      <c r="P7" s="405"/>
      <c r="Q7" s="405"/>
      <c r="R7" s="405"/>
      <c r="S7" s="405"/>
      <c r="T7" s="405"/>
      <c r="U7" s="405"/>
      <c r="V7" s="405"/>
      <c r="W7" s="405"/>
      <c r="X7" s="405"/>
      <c r="Y7" s="405"/>
      <c r="Z7" s="405"/>
      <c r="AA7" s="405"/>
      <c r="AB7" s="405"/>
      <c r="AC7" s="405"/>
      <c r="AD7" s="405"/>
      <c r="AE7" s="405"/>
      <c r="AF7" s="405"/>
      <c r="AG7" s="405"/>
    </row>
    <row r="8" spans="1:33" x14ac:dyDescent="0.25">
      <c r="A8" s="1103" t="s">
        <v>266</v>
      </c>
      <c r="B8" s="1103"/>
      <c r="C8" s="1111">
        <f>'Version Control'!A50</f>
        <v>45531</v>
      </c>
      <c r="D8" s="1111"/>
      <c r="E8" s="410"/>
      <c r="F8" s="410"/>
      <c r="G8" s="410"/>
      <c r="H8" s="410"/>
      <c r="I8" s="410"/>
      <c r="J8" s="410"/>
      <c r="K8" s="410"/>
      <c r="L8" s="410"/>
      <c r="M8" s="405"/>
      <c r="N8" s="405"/>
      <c r="O8" s="405"/>
      <c r="P8" s="405"/>
      <c r="Q8" s="405"/>
      <c r="R8" s="405"/>
      <c r="S8" s="405"/>
      <c r="T8" s="405"/>
      <c r="U8" s="405"/>
      <c r="V8" s="405"/>
      <c r="W8" s="405"/>
      <c r="X8" s="405"/>
      <c r="Y8" s="405"/>
      <c r="Z8" s="405"/>
      <c r="AA8" s="405"/>
      <c r="AB8" s="405"/>
      <c r="AC8" s="405"/>
      <c r="AD8" s="405"/>
      <c r="AE8" s="405"/>
      <c r="AF8" s="405"/>
      <c r="AG8" s="405"/>
    </row>
    <row r="9" spans="1:33" s="414" customFormat="1" ht="11.25" x14ac:dyDescent="0.2">
      <c r="A9" s="411"/>
      <c r="B9" s="411"/>
      <c r="C9" s="412"/>
      <c r="D9" s="412"/>
      <c r="E9" s="413"/>
      <c r="F9" s="413"/>
      <c r="G9" s="413"/>
      <c r="H9" s="413"/>
      <c r="I9" s="413"/>
      <c r="J9" s="413"/>
      <c r="K9" s="413"/>
      <c r="L9" s="413"/>
      <c r="M9" s="413"/>
      <c r="N9" s="413"/>
      <c r="O9" s="413"/>
      <c r="P9" s="413"/>
      <c r="Q9" s="413"/>
      <c r="R9" s="413"/>
      <c r="S9" s="413"/>
      <c r="T9" s="413"/>
      <c r="U9" s="413"/>
      <c r="V9" s="413"/>
      <c r="W9" s="413"/>
      <c r="X9" s="413"/>
      <c r="Y9" s="413"/>
      <c r="Z9" s="413"/>
      <c r="AA9" s="413"/>
      <c r="AB9" s="413"/>
      <c r="AC9" s="413"/>
      <c r="AD9" s="413"/>
      <c r="AE9" s="413"/>
      <c r="AF9" s="413"/>
      <c r="AG9" s="413"/>
    </row>
    <row r="10" spans="1:33" ht="31.5" x14ac:dyDescent="0.5">
      <c r="A10" s="415" t="s">
        <v>573</v>
      </c>
      <c r="B10" s="405"/>
      <c r="C10" s="405"/>
      <c r="D10" s="405"/>
      <c r="E10" s="405"/>
      <c r="F10" s="405"/>
      <c r="G10" s="405"/>
      <c r="H10" s="405"/>
      <c r="I10" s="405"/>
      <c r="J10" s="405"/>
      <c r="K10" s="405"/>
      <c r="L10" s="405"/>
      <c r="M10" s="405"/>
      <c r="N10" s="405"/>
      <c r="O10" s="405"/>
      <c r="P10" s="405"/>
      <c r="Q10" s="405"/>
      <c r="R10" s="405"/>
      <c r="S10" s="405"/>
      <c r="T10" s="405"/>
      <c r="U10" s="405"/>
      <c r="V10" s="405"/>
      <c r="W10" s="405"/>
      <c r="X10" s="405"/>
      <c r="Y10" s="405"/>
      <c r="Z10" s="405"/>
      <c r="AA10" s="405"/>
      <c r="AB10" s="405"/>
      <c r="AC10" s="405"/>
      <c r="AD10" s="405"/>
      <c r="AE10" s="405"/>
      <c r="AF10" s="405"/>
      <c r="AG10" s="405"/>
    </row>
    <row r="11" spans="1:33" s="414" customFormat="1" ht="11.25" x14ac:dyDescent="0.2">
      <c r="A11" s="413"/>
      <c r="B11" s="413"/>
      <c r="C11" s="413"/>
      <c r="D11" s="413"/>
      <c r="E11" s="413"/>
      <c r="F11" s="413"/>
      <c r="G11" s="413"/>
      <c r="H11" s="413"/>
      <c r="I11" s="413"/>
      <c r="J11" s="413"/>
      <c r="K11" s="413"/>
      <c r="L11" s="413"/>
      <c r="M11" s="413"/>
      <c r="N11" s="413"/>
      <c r="O11" s="413"/>
      <c r="P11" s="413"/>
      <c r="Q11" s="413"/>
      <c r="R11" s="413"/>
      <c r="S11" s="413"/>
      <c r="T11" s="413"/>
      <c r="U11" s="413"/>
      <c r="V11" s="413"/>
      <c r="W11" s="413"/>
      <c r="X11" s="413"/>
      <c r="Y11" s="413"/>
      <c r="Z11" s="413"/>
      <c r="AA11" s="413"/>
      <c r="AB11" s="413"/>
      <c r="AC11" s="413"/>
      <c r="AD11" s="413"/>
      <c r="AE11" s="413"/>
      <c r="AF11" s="413"/>
      <c r="AG11" s="413"/>
    </row>
    <row r="12" spans="1:33" s="417" customFormat="1" ht="12.75" x14ac:dyDescent="0.2">
      <c r="A12" s="416"/>
      <c r="B12" s="416"/>
      <c r="C12" s="416"/>
      <c r="D12" s="416"/>
      <c r="E12" s="416"/>
      <c r="F12" s="416"/>
      <c r="G12" s="416"/>
      <c r="H12" s="416"/>
      <c r="I12" s="416"/>
      <c r="J12" s="416"/>
      <c r="K12" s="416"/>
      <c r="L12" s="416"/>
      <c r="M12" s="416"/>
      <c r="N12" s="416"/>
      <c r="O12" s="416"/>
      <c r="P12" s="416"/>
      <c r="Q12" s="416"/>
      <c r="R12" s="416"/>
      <c r="S12" s="416"/>
      <c r="T12" s="416"/>
      <c r="U12" s="416"/>
      <c r="V12" s="416"/>
      <c r="W12" s="416"/>
      <c r="X12" s="416"/>
      <c r="Y12" s="416"/>
      <c r="Z12" s="416"/>
      <c r="AA12" s="416"/>
      <c r="AB12" s="416"/>
      <c r="AC12" s="416"/>
      <c r="AD12" s="416"/>
      <c r="AE12" s="416"/>
      <c r="AF12" s="416"/>
      <c r="AG12" s="416"/>
    </row>
    <row r="13" spans="1:33" s="417" customFormat="1" x14ac:dyDescent="0.2">
      <c r="A13" s="416"/>
      <c r="B13" s="418" t="s">
        <v>94</v>
      </c>
      <c r="C13" s="416"/>
      <c r="D13" s="416"/>
      <c r="E13" s="1112" t="str">
        <f>IF('Input Page'!E13:J13="","",'Input Page'!E13:J13)</f>
        <v/>
      </c>
      <c r="F13" s="1113"/>
      <c r="G13" s="1113"/>
      <c r="H13" s="1113"/>
      <c r="I13" s="1113"/>
      <c r="J13" s="1113"/>
      <c r="K13" s="1114"/>
      <c r="L13" s="416"/>
      <c r="M13" s="416"/>
      <c r="N13" s="416"/>
      <c r="O13" s="416"/>
      <c r="P13" s="416"/>
      <c r="Q13" s="416"/>
      <c r="R13" s="416"/>
      <c r="S13" s="416"/>
      <c r="T13" s="416"/>
      <c r="U13" s="416"/>
      <c r="V13" s="416"/>
      <c r="W13" s="416"/>
      <c r="X13" s="416"/>
      <c r="Y13" s="416"/>
      <c r="Z13" s="416"/>
      <c r="AA13" s="416"/>
      <c r="AB13" s="416"/>
      <c r="AC13" s="416"/>
      <c r="AD13" s="416"/>
      <c r="AE13" s="416"/>
      <c r="AF13" s="416"/>
      <c r="AG13" s="416"/>
    </row>
    <row r="14" spans="1:33" s="417" customFormat="1" x14ac:dyDescent="0.25">
      <c r="A14" s="418"/>
      <c r="B14" s="416"/>
      <c r="C14" s="416"/>
      <c r="D14" s="416"/>
      <c r="E14" s="410"/>
      <c r="F14" s="410"/>
      <c r="G14" s="410"/>
      <c r="H14" s="410"/>
      <c r="I14" s="410"/>
      <c r="J14" s="410"/>
      <c r="K14" s="416"/>
      <c r="L14" s="416"/>
      <c r="M14" s="416"/>
      <c r="N14" s="416"/>
      <c r="O14" s="416"/>
      <c r="P14" s="416"/>
      <c r="Q14" s="416"/>
      <c r="R14" s="416"/>
      <c r="S14" s="416"/>
      <c r="T14" s="416"/>
      <c r="U14" s="416"/>
      <c r="V14" s="416"/>
      <c r="W14" s="416"/>
      <c r="X14" s="416"/>
      <c r="Y14" s="416"/>
      <c r="Z14" s="416"/>
      <c r="AA14" s="416"/>
      <c r="AB14" s="416"/>
      <c r="AC14" s="416"/>
      <c r="AD14" s="416"/>
      <c r="AE14" s="416"/>
      <c r="AF14" s="416"/>
      <c r="AG14" s="416"/>
    </row>
    <row r="15" spans="1:33" s="417" customFormat="1" x14ac:dyDescent="0.2">
      <c r="A15" s="416"/>
      <c r="B15" s="418" t="s">
        <v>95</v>
      </c>
      <c r="C15" s="416"/>
      <c r="D15" s="416"/>
      <c r="E15" s="1112" t="str">
        <f>IF('Input Page'!E15:J15="","",'Input Page'!E15:J15)</f>
        <v/>
      </c>
      <c r="F15" s="1113"/>
      <c r="G15" s="1113"/>
      <c r="H15" s="1113"/>
      <c r="I15" s="1113"/>
      <c r="J15" s="1113"/>
      <c r="K15" s="1114"/>
      <c r="L15" s="416"/>
      <c r="M15" s="416"/>
      <c r="N15" s="416"/>
      <c r="O15" s="416"/>
      <c r="P15" s="416"/>
      <c r="Q15" s="416"/>
      <c r="R15" s="416"/>
      <c r="S15" s="416"/>
      <c r="T15" s="416"/>
      <c r="U15" s="416"/>
      <c r="V15" s="416"/>
      <c r="W15" s="416"/>
      <c r="X15" s="416"/>
      <c r="Y15" s="416"/>
      <c r="Z15" s="416"/>
      <c r="AA15" s="416"/>
      <c r="AB15" s="416"/>
      <c r="AC15" s="416"/>
      <c r="AD15" s="416"/>
      <c r="AE15" s="416"/>
      <c r="AF15" s="416"/>
      <c r="AG15" s="416"/>
    </row>
    <row r="16" spans="1:33" s="417" customFormat="1" x14ac:dyDescent="0.25">
      <c r="A16" s="418"/>
      <c r="B16" s="416"/>
      <c r="C16" s="416"/>
      <c r="D16" s="416"/>
      <c r="E16" s="410"/>
      <c r="F16" s="410"/>
      <c r="G16" s="410"/>
      <c r="H16" s="410"/>
      <c r="I16" s="410"/>
      <c r="J16" s="410"/>
      <c r="K16" s="416"/>
      <c r="L16" s="416"/>
      <c r="M16" s="416"/>
      <c r="N16" s="416"/>
      <c r="O16" s="416"/>
      <c r="P16" s="416"/>
      <c r="Q16" s="416"/>
      <c r="R16" s="416"/>
      <c r="S16" s="416"/>
      <c r="T16" s="416"/>
      <c r="U16" s="416"/>
      <c r="V16" s="416"/>
      <c r="W16" s="416"/>
      <c r="X16" s="416"/>
      <c r="Y16" s="416"/>
      <c r="Z16" s="416"/>
      <c r="AA16" s="416"/>
      <c r="AB16" s="416"/>
      <c r="AC16" s="416"/>
      <c r="AD16" s="416"/>
      <c r="AE16" s="416"/>
      <c r="AF16" s="416"/>
      <c r="AG16" s="416"/>
    </row>
    <row r="17" spans="1:33" s="417" customFormat="1" x14ac:dyDescent="0.2">
      <c r="A17" s="418"/>
      <c r="B17" s="418" t="s">
        <v>670</v>
      </c>
      <c r="C17" s="416"/>
      <c r="D17" s="416"/>
      <c r="E17" s="1112" t="str">
        <f>IF('Input Page'!E17:J17="","",'Input Page'!E17:J17)</f>
        <v/>
      </c>
      <c r="F17" s="1113"/>
      <c r="G17" s="1113"/>
      <c r="H17" s="1113"/>
      <c r="I17" s="1113"/>
      <c r="J17" s="1113"/>
      <c r="K17" s="1114"/>
      <c r="L17" s="416"/>
      <c r="M17" s="416"/>
      <c r="N17" s="416"/>
      <c r="O17" s="416"/>
      <c r="P17" s="416"/>
      <c r="Q17" s="416"/>
      <c r="R17" s="416"/>
      <c r="S17" s="416"/>
      <c r="T17" s="416"/>
      <c r="U17" s="416"/>
      <c r="V17" s="416"/>
      <c r="W17" s="416"/>
      <c r="X17" s="416"/>
      <c r="Y17" s="416"/>
      <c r="Z17" s="416"/>
      <c r="AA17" s="416"/>
      <c r="AB17" s="416"/>
      <c r="AC17" s="416"/>
      <c r="AD17" s="416"/>
      <c r="AE17" s="416"/>
      <c r="AF17" s="416"/>
      <c r="AG17" s="416"/>
    </row>
    <row r="18" spans="1:33" s="417" customFormat="1" x14ac:dyDescent="0.25">
      <c r="A18" s="418"/>
      <c r="B18" s="418"/>
      <c r="C18" s="416"/>
      <c r="D18" s="416"/>
      <c r="E18" s="410"/>
      <c r="F18" s="410"/>
      <c r="G18" s="410"/>
      <c r="H18" s="410"/>
      <c r="I18" s="410"/>
      <c r="J18" s="410"/>
      <c r="K18" s="416"/>
      <c r="L18" s="416"/>
      <c r="M18" s="416"/>
      <c r="N18" s="416"/>
      <c r="O18" s="416"/>
      <c r="P18" s="416"/>
      <c r="Q18" s="416"/>
      <c r="R18" s="416"/>
      <c r="S18" s="416"/>
      <c r="T18" s="416"/>
      <c r="U18" s="416"/>
      <c r="V18" s="416"/>
      <c r="W18" s="416"/>
      <c r="X18" s="416"/>
      <c r="Y18" s="416"/>
      <c r="Z18" s="416"/>
      <c r="AA18" s="416"/>
      <c r="AB18" s="416"/>
      <c r="AC18" s="416"/>
      <c r="AD18" s="416"/>
      <c r="AE18" s="416"/>
      <c r="AF18" s="416"/>
      <c r="AG18" s="416"/>
    </row>
    <row r="19" spans="1:33" s="417" customFormat="1" ht="18.75" customHeight="1" x14ac:dyDescent="0.2">
      <c r="A19" s="418"/>
      <c r="B19" s="418" t="s">
        <v>96</v>
      </c>
      <c r="C19" s="416"/>
      <c r="D19" s="416"/>
      <c r="E19" s="1112" t="str">
        <f>IF('Input Page'!E19:J19="","",'Input Page'!E19:J19)</f>
        <v/>
      </c>
      <c r="F19" s="1113"/>
      <c r="G19" s="1113"/>
      <c r="H19" s="1113"/>
      <c r="I19" s="1113"/>
      <c r="J19" s="1113"/>
      <c r="K19" s="1114"/>
      <c r="L19" s="416"/>
      <c r="M19" s="416"/>
      <c r="N19" s="416"/>
      <c r="O19" s="416"/>
      <c r="P19" s="416"/>
      <c r="Q19" s="416"/>
      <c r="R19" s="416"/>
      <c r="S19" s="416"/>
      <c r="T19" s="416"/>
      <c r="U19" s="416"/>
      <c r="V19" s="416"/>
      <c r="W19" s="416"/>
      <c r="X19" s="416"/>
      <c r="Y19" s="416"/>
      <c r="Z19" s="416"/>
      <c r="AA19" s="416"/>
      <c r="AB19" s="416"/>
      <c r="AC19" s="416"/>
      <c r="AD19" s="416"/>
      <c r="AE19" s="416"/>
      <c r="AF19" s="416"/>
      <c r="AG19" s="416"/>
    </row>
    <row r="20" spans="1:33" s="417" customFormat="1" ht="12.75" x14ac:dyDescent="0.2">
      <c r="A20" s="418"/>
      <c r="B20" s="418"/>
      <c r="C20" s="416"/>
      <c r="D20" s="416"/>
      <c r="E20" s="416"/>
      <c r="F20" s="416"/>
      <c r="G20" s="416"/>
      <c r="H20" s="416"/>
      <c r="I20" s="416"/>
      <c r="J20" s="416"/>
      <c r="K20" s="416"/>
      <c r="L20" s="416"/>
      <c r="M20" s="416"/>
      <c r="N20" s="416"/>
      <c r="O20" s="416"/>
      <c r="P20" s="416"/>
      <c r="Q20" s="416"/>
      <c r="R20" s="416"/>
      <c r="S20" s="416"/>
      <c r="T20" s="416"/>
      <c r="U20" s="416"/>
      <c r="V20" s="416"/>
      <c r="W20" s="416"/>
      <c r="X20" s="416"/>
      <c r="Y20" s="416"/>
      <c r="Z20" s="416"/>
      <c r="AA20" s="416"/>
      <c r="AB20" s="416"/>
      <c r="AC20" s="416"/>
      <c r="AD20" s="416"/>
      <c r="AE20" s="416"/>
      <c r="AF20" s="416"/>
      <c r="AG20" s="416"/>
    </row>
    <row r="21" spans="1:33" s="417" customFormat="1" ht="12.75" x14ac:dyDescent="0.2">
      <c r="A21" s="418"/>
      <c r="B21" s="419" t="s">
        <v>97</v>
      </c>
      <c r="C21" s="416"/>
      <c r="D21" s="416"/>
      <c r="E21" s="420"/>
      <c r="F21" s="420"/>
      <c r="G21" s="420"/>
      <c r="H21" s="421" t="s">
        <v>99</v>
      </c>
      <c r="I21" s="422"/>
      <c r="J21" s="420"/>
      <c r="K21" s="416"/>
      <c r="L21" s="416"/>
      <c r="M21" s="416"/>
      <c r="N21" s="416"/>
      <c r="O21" s="416"/>
      <c r="P21" s="416"/>
      <c r="Q21" s="416"/>
      <c r="R21" s="416"/>
      <c r="S21" s="416"/>
      <c r="T21" s="416"/>
      <c r="U21" s="416"/>
      <c r="V21" s="416"/>
      <c r="W21" s="416"/>
      <c r="X21" s="416"/>
      <c r="Y21" s="416"/>
      <c r="Z21" s="416"/>
      <c r="AA21" s="416"/>
      <c r="AB21" s="416"/>
      <c r="AC21" s="416"/>
      <c r="AD21" s="416"/>
      <c r="AE21" s="416"/>
      <c r="AF21" s="416"/>
      <c r="AG21" s="416"/>
    </row>
    <row r="22" spans="1:33" s="417" customFormat="1" x14ac:dyDescent="0.25">
      <c r="A22" s="418"/>
      <c r="B22" s="418" t="s">
        <v>98</v>
      </c>
      <c r="C22" s="416"/>
      <c r="D22" s="416"/>
      <c r="E22" s="1118" t="str">
        <f>IF('Input Page'!E24:F24="","",'Input Page'!E24:F24)</f>
        <v/>
      </c>
      <c r="F22" s="1119"/>
      <c r="G22" s="416"/>
      <c r="H22" s="418" t="s">
        <v>102</v>
      </c>
      <c r="I22" s="416"/>
      <c r="J22" s="557" t="str">
        <f>IF('Input Page'!J24:J24="","",'Input Page'!J24:J24)</f>
        <v/>
      </c>
      <c r="K22" s="587"/>
      <c r="L22" s="416"/>
      <c r="M22" s="416"/>
      <c r="N22" s="416"/>
      <c r="O22" s="416"/>
      <c r="P22" s="416"/>
      <c r="Q22" s="416"/>
      <c r="R22" s="416"/>
      <c r="S22" s="416"/>
      <c r="T22" s="416"/>
      <c r="U22" s="416"/>
      <c r="V22" s="416"/>
      <c r="W22" s="416"/>
      <c r="X22" s="416"/>
      <c r="Y22" s="416"/>
      <c r="Z22" s="416"/>
      <c r="AA22" s="416"/>
      <c r="AB22" s="416"/>
      <c r="AC22" s="416"/>
      <c r="AD22" s="416"/>
      <c r="AE22" s="416"/>
      <c r="AF22" s="416"/>
      <c r="AG22" s="416"/>
    </row>
    <row r="23" spans="1:33" s="417" customFormat="1" ht="12.75" x14ac:dyDescent="0.2">
      <c r="A23" s="418"/>
      <c r="B23" s="418"/>
      <c r="C23" s="416"/>
      <c r="D23" s="416"/>
      <c r="E23" s="416"/>
      <c r="F23" s="416"/>
      <c r="G23" s="416"/>
      <c r="H23" s="418"/>
      <c r="I23" s="416"/>
      <c r="J23" s="416"/>
      <c r="K23" s="416"/>
      <c r="L23" s="416"/>
      <c r="M23" s="416"/>
      <c r="N23" s="416"/>
      <c r="O23" s="416"/>
      <c r="P23" s="416"/>
      <c r="Q23" s="416"/>
      <c r="R23" s="416"/>
      <c r="S23" s="416"/>
      <c r="T23" s="416"/>
      <c r="U23" s="416"/>
      <c r="V23" s="416"/>
      <c r="W23" s="416"/>
      <c r="X23" s="416"/>
      <c r="Y23" s="416"/>
      <c r="Z23" s="416"/>
      <c r="AA23" s="416"/>
      <c r="AB23" s="416"/>
      <c r="AC23" s="416"/>
      <c r="AD23" s="416"/>
      <c r="AE23" s="416"/>
      <c r="AF23" s="416"/>
      <c r="AG23" s="416"/>
    </row>
    <row r="24" spans="1:33" s="417" customFormat="1" x14ac:dyDescent="0.25">
      <c r="A24" s="418"/>
      <c r="B24" s="418" t="s">
        <v>100</v>
      </c>
      <c r="C24" s="416"/>
      <c r="D24" s="416"/>
      <c r="E24" s="1121" t="str">
        <f>IF('Input Page'!E26:F26="","",'Input Page'!E26:F26)</f>
        <v/>
      </c>
      <c r="F24" s="1122"/>
      <c r="G24" s="416"/>
      <c r="H24" s="418" t="s">
        <v>101</v>
      </c>
      <c r="I24" s="416"/>
      <c r="J24" s="557" t="str">
        <f>IF('Input Page'!J26:J26="","",'Input Page'!J26:J26)</f>
        <v/>
      </c>
      <c r="K24" s="587"/>
      <c r="L24" s="416"/>
      <c r="M24" s="416"/>
      <c r="N24" s="416"/>
      <c r="O24" s="416"/>
      <c r="P24" s="416"/>
      <c r="Q24" s="416"/>
      <c r="R24" s="416"/>
      <c r="S24" s="416"/>
      <c r="T24" s="416"/>
      <c r="U24" s="416"/>
      <c r="V24" s="416"/>
      <c r="W24" s="416"/>
      <c r="X24" s="416"/>
      <c r="Y24" s="416"/>
      <c r="Z24" s="416"/>
      <c r="AA24" s="416"/>
      <c r="AB24" s="416"/>
      <c r="AC24" s="416"/>
      <c r="AD24" s="416"/>
      <c r="AE24" s="416"/>
      <c r="AF24" s="416"/>
      <c r="AG24" s="416"/>
    </row>
    <row r="25" spans="1:33" s="417" customFormat="1" ht="12.75" x14ac:dyDescent="0.2">
      <c r="A25" s="418"/>
      <c r="B25" s="418"/>
      <c r="C25" s="416"/>
      <c r="D25" s="416"/>
      <c r="E25" s="416"/>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row>
    <row r="26" spans="1:33" s="417" customFormat="1" ht="12.75" x14ac:dyDescent="0.2">
      <c r="A26" s="418"/>
      <c r="B26" s="419" t="s">
        <v>103</v>
      </c>
      <c r="C26" s="416"/>
      <c r="D26" s="416"/>
      <c r="E26" s="416"/>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row>
    <row r="27" spans="1:33" s="417" customFormat="1" x14ac:dyDescent="0.2">
      <c r="A27" s="418"/>
      <c r="B27" s="418" t="s">
        <v>104</v>
      </c>
      <c r="C27" s="416"/>
      <c r="D27" s="416"/>
      <c r="E27" s="1112" t="str">
        <f>IF('Input Page'!E29:H29="","",'Input Page'!E29:H29)</f>
        <v/>
      </c>
      <c r="F27" s="1113"/>
      <c r="G27" s="1113"/>
      <c r="H27" s="1114"/>
      <c r="I27" s="416"/>
      <c r="J27" s="558" t="s">
        <v>414</v>
      </c>
      <c r="K27" s="416"/>
      <c r="L27" s="416"/>
      <c r="M27" s="416"/>
      <c r="N27" s="416"/>
      <c r="O27" s="416"/>
      <c r="P27" s="416"/>
      <c r="Q27" s="416"/>
      <c r="R27" s="416"/>
      <c r="S27" s="416"/>
      <c r="T27" s="416"/>
      <c r="U27" s="416"/>
      <c r="V27" s="416"/>
      <c r="W27" s="416"/>
      <c r="X27" s="416"/>
      <c r="Y27" s="416"/>
      <c r="Z27" s="416"/>
      <c r="AA27" s="416"/>
      <c r="AB27" s="416"/>
      <c r="AC27" s="416"/>
      <c r="AD27" s="416"/>
      <c r="AE27" s="416"/>
      <c r="AF27" s="416"/>
      <c r="AG27" s="416"/>
    </row>
    <row r="28" spans="1:33" s="417" customFormat="1" ht="12.75" x14ac:dyDescent="0.2">
      <c r="A28" s="418"/>
      <c r="B28" s="418"/>
      <c r="C28" s="416"/>
      <c r="D28" s="416"/>
      <c r="E28" s="416"/>
      <c r="F28" s="416"/>
      <c r="G28" s="416"/>
      <c r="H28" s="416"/>
      <c r="I28" s="416"/>
      <c r="J28" s="1104" t="str">
        <f>IF('Input Page'!J30="","",'Input Page'!J30)</f>
        <v/>
      </c>
      <c r="K28" s="1105"/>
      <c r="L28" s="416"/>
      <c r="M28" s="416"/>
      <c r="N28" s="416"/>
      <c r="O28" s="416"/>
      <c r="P28" s="416"/>
      <c r="Q28" s="416"/>
      <c r="R28" s="416"/>
      <c r="S28" s="416"/>
      <c r="T28" s="416"/>
      <c r="U28" s="416"/>
      <c r="V28" s="416"/>
      <c r="W28" s="416"/>
      <c r="X28" s="416"/>
      <c r="Y28" s="416"/>
      <c r="Z28" s="416"/>
      <c r="AA28" s="416"/>
      <c r="AB28" s="416"/>
      <c r="AC28" s="416"/>
      <c r="AD28" s="416"/>
      <c r="AE28" s="416"/>
      <c r="AF28" s="416"/>
      <c r="AG28" s="416"/>
    </row>
    <row r="29" spans="1:33" s="417" customFormat="1" x14ac:dyDescent="0.2">
      <c r="A29" s="418"/>
      <c r="B29" s="418" t="s">
        <v>105</v>
      </c>
      <c r="C29" s="416"/>
      <c r="D29" s="416"/>
      <c r="E29" s="1123" t="str">
        <f>IF('Input Page'!E31:H31="","",'Input Page'!E31:H31)</f>
        <v/>
      </c>
      <c r="F29" s="1124"/>
      <c r="G29" s="1124"/>
      <c r="H29" s="1125"/>
      <c r="I29" s="416"/>
      <c r="J29" s="1106"/>
      <c r="K29" s="1107"/>
      <c r="L29" s="416"/>
      <c r="M29" s="416"/>
      <c r="N29" s="416"/>
      <c r="O29" s="416"/>
      <c r="P29" s="416"/>
      <c r="Q29" s="416"/>
      <c r="R29" s="416"/>
      <c r="S29" s="416"/>
      <c r="T29" s="416"/>
      <c r="U29" s="416"/>
      <c r="V29" s="416"/>
      <c r="W29" s="416"/>
      <c r="X29" s="416"/>
      <c r="Y29" s="416"/>
      <c r="Z29" s="416"/>
      <c r="AA29" s="416"/>
      <c r="AB29" s="416"/>
      <c r="AC29" s="416"/>
      <c r="AD29" s="416"/>
      <c r="AE29" s="416"/>
      <c r="AF29" s="416"/>
      <c r="AG29" s="416"/>
    </row>
    <row r="30" spans="1:33" s="417" customFormat="1" x14ac:dyDescent="0.2">
      <c r="A30" s="416"/>
      <c r="B30" s="418"/>
      <c r="C30" s="416"/>
      <c r="D30" s="416"/>
      <c r="E30" s="1123" t="str">
        <f>IF('Input Page'!E32:H32="","",'Input Page'!E32:H32)</f>
        <v/>
      </c>
      <c r="F30" s="1124"/>
      <c r="G30" s="1124"/>
      <c r="H30" s="1125"/>
      <c r="I30" s="416"/>
      <c r="J30" s="1106"/>
      <c r="K30" s="1107"/>
      <c r="L30" s="416"/>
      <c r="M30" s="416"/>
      <c r="N30" s="416"/>
      <c r="O30" s="416"/>
      <c r="P30" s="416"/>
      <c r="Q30" s="416"/>
      <c r="R30" s="416"/>
      <c r="S30" s="416"/>
      <c r="T30" s="416"/>
      <c r="U30" s="416"/>
      <c r="V30" s="416"/>
      <c r="W30" s="416"/>
      <c r="X30" s="416"/>
      <c r="Y30" s="416"/>
      <c r="Z30" s="416"/>
      <c r="AA30" s="416"/>
      <c r="AB30" s="416"/>
      <c r="AC30" s="416"/>
      <c r="AD30" s="416"/>
      <c r="AE30" s="416"/>
      <c r="AF30" s="416"/>
      <c r="AG30" s="416"/>
    </row>
    <row r="31" spans="1:33" s="417" customFormat="1" x14ac:dyDescent="0.2">
      <c r="A31" s="416"/>
      <c r="B31" s="418"/>
      <c r="C31" s="416"/>
      <c r="D31" s="416"/>
      <c r="E31" s="1123" t="str">
        <f>IF('Input Page'!E33:H33="","",'Input Page'!E33:H33)</f>
        <v/>
      </c>
      <c r="F31" s="1124"/>
      <c r="G31" s="1124"/>
      <c r="H31" s="1125"/>
      <c r="I31" s="416"/>
      <c r="J31" s="1108"/>
      <c r="K31" s="1109"/>
      <c r="L31" s="416"/>
      <c r="M31" s="416"/>
      <c r="N31" s="416"/>
      <c r="O31" s="416"/>
      <c r="P31" s="416"/>
      <c r="Q31" s="416"/>
      <c r="R31" s="416"/>
      <c r="S31" s="416"/>
      <c r="T31" s="416"/>
      <c r="U31" s="416"/>
      <c r="V31" s="416"/>
      <c r="W31" s="416"/>
      <c r="X31" s="416"/>
      <c r="Y31" s="416"/>
      <c r="Z31" s="416"/>
      <c r="AA31" s="416"/>
      <c r="AB31" s="416"/>
      <c r="AC31" s="416"/>
      <c r="AD31" s="416"/>
      <c r="AE31" s="416"/>
      <c r="AF31" s="416"/>
      <c r="AG31" s="416"/>
    </row>
    <row r="32" spans="1:33" s="417" customFormat="1" x14ac:dyDescent="0.25">
      <c r="A32" s="416"/>
      <c r="B32" s="418"/>
      <c r="C32" s="416"/>
      <c r="D32" s="416"/>
      <c r="E32" s="423"/>
      <c r="F32" s="416"/>
      <c r="G32" s="416"/>
      <c r="H32" s="416"/>
      <c r="I32" s="416"/>
      <c r="J32" s="423"/>
      <c r="K32" s="416"/>
      <c r="L32" s="416"/>
      <c r="M32" s="416"/>
      <c r="N32" s="416"/>
      <c r="O32" s="416"/>
      <c r="P32" s="416"/>
      <c r="Q32" s="416"/>
      <c r="R32" s="416"/>
      <c r="S32" s="416"/>
      <c r="T32" s="416"/>
      <c r="U32" s="416"/>
      <c r="V32" s="416"/>
      <c r="W32" s="416"/>
      <c r="X32" s="416"/>
      <c r="Y32" s="416"/>
      <c r="Z32" s="416"/>
      <c r="AA32" s="416"/>
      <c r="AB32" s="416"/>
      <c r="AC32" s="416"/>
      <c r="AD32" s="416"/>
      <c r="AE32" s="416"/>
      <c r="AF32" s="416"/>
      <c r="AG32" s="416"/>
    </row>
    <row r="33" spans="1:33" s="417" customFormat="1" x14ac:dyDescent="0.25">
      <c r="A33" s="416"/>
      <c r="B33" s="418" t="s">
        <v>106</v>
      </c>
      <c r="C33" s="416"/>
      <c r="D33" s="416"/>
      <c r="E33" s="1115" t="str">
        <f>IF('Input Page'!E35:F35="","",'Input Page'!E35:F35)</f>
        <v/>
      </c>
      <c r="F33" s="1120"/>
      <c r="G33" s="1120"/>
      <c r="H33" s="1116"/>
      <c r="I33" s="424" t="s">
        <v>108</v>
      </c>
      <c r="J33" s="1115" t="str">
        <f>IF('Input Page'!J35:J35="","",'Input Page'!J35:J35)</f>
        <v/>
      </c>
      <c r="K33" s="1116"/>
      <c r="L33" s="416"/>
      <c r="M33" s="416"/>
      <c r="N33" s="416"/>
      <c r="O33" s="416"/>
      <c r="P33" s="416"/>
      <c r="Q33" s="416"/>
      <c r="R33" s="416"/>
      <c r="S33" s="416"/>
      <c r="T33" s="416"/>
      <c r="U33" s="416"/>
      <c r="V33" s="416"/>
      <c r="W33" s="416"/>
      <c r="X33" s="416"/>
      <c r="Y33" s="416"/>
      <c r="Z33" s="416"/>
      <c r="AA33" s="416"/>
      <c r="AB33" s="416"/>
      <c r="AC33" s="416"/>
      <c r="AD33" s="416"/>
      <c r="AE33" s="416"/>
      <c r="AF33" s="416"/>
      <c r="AG33" s="416"/>
    </row>
    <row r="34" spans="1:33" s="417" customFormat="1" ht="12.75" x14ac:dyDescent="0.2">
      <c r="A34" s="416"/>
      <c r="B34" s="418"/>
      <c r="C34" s="416"/>
      <c r="D34" s="416"/>
      <c r="E34" s="416"/>
      <c r="F34" s="416"/>
      <c r="G34" s="416"/>
      <c r="H34" s="416"/>
      <c r="I34" s="416"/>
      <c r="J34" s="416"/>
      <c r="K34" s="416"/>
      <c r="L34" s="416"/>
      <c r="M34" s="416"/>
      <c r="N34" s="416"/>
      <c r="O34" s="416"/>
      <c r="P34" s="416"/>
      <c r="Q34" s="416"/>
      <c r="R34" s="416"/>
      <c r="S34" s="416"/>
      <c r="T34" s="416"/>
      <c r="U34" s="416"/>
      <c r="V34" s="416"/>
      <c r="W34" s="416"/>
      <c r="X34" s="416"/>
      <c r="Y34" s="416"/>
      <c r="Z34" s="416"/>
      <c r="AA34" s="416"/>
      <c r="AB34" s="416"/>
      <c r="AC34" s="416"/>
      <c r="AD34" s="416"/>
      <c r="AE34" s="416"/>
      <c r="AF34" s="416"/>
      <c r="AG34" s="416"/>
    </row>
    <row r="35" spans="1:33" s="417" customFormat="1" x14ac:dyDescent="0.2">
      <c r="A35" s="416"/>
      <c r="B35" s="418" t="s">
        <v>107</v>
      </c>
      <c r="C35" s="416"/>
      <c r="D35" s="416"/>
      <c r="E35" s="1112" t="str">
        <f>IF('Input Page'!E37:H37="","",'Input Page'!E37:H37)</f>
        <v/>
      </c>
      <c r="F35" s="1113"/>
      <c r="G35" s="1113"/>
      <c r="H35" s="1114"/>
      <c r="I35" s="416"/>
      <c r="J35" s="416"/>
      <c r="K35" s="416"/>
      <c r="L35" s="416"/>
      <c r="M35" s="416"/>
      <c r="N35" s="416"/>
      <c r="O35" s="416"/>
      <c r="P35" s="416"/>
      <c r="Q35" s="416"/>
      <c r="R35" s="416"/>
      <c r="S35" s="416"/>
      <c r="T35" s="416"/>
      <c r="U35" s="416"/>
      <c r="V35" s="416"/>
      <c r="W35" s="416"/>
      <c r="X35" s="416"/>
      <c r="Y35" s="416"/>
      <c r="Z35" s="416"/>
      <c r="AA35" s="416"/>
      <c r="AB35" s="416"/>
      <c r="AC35" s="416"/>
      <c r="AD35" s="416"/>
      <c r="AE35" s="416"/>
      <c r="AF35" s="416"/>
      <c r="AG35" s="416"/>
    </row>
    <row r="36" spans="1:33" x14ac:dyDescent="0.25">
      <c r="A36" s="410"/>
      <c r="B36" s="423"/>
      <c r="C36" s="410"/>
      <c r="D36" s="410"/>
      <c r="E36" s="410"/>
      <c r="F36" s="410"/>
      <c r="G36" s="410"/>
      <c r="H36" s="410"/>
      <c r="I36" s="410"/>
      <c r="J36" s="410"/>
      <c r="K36" s="410"/>
      <c r="L36" s="410"/>
      <c r="M36" s="405"/>
      <c r="N36" s="405"/>
      <c r="O36" s="405"/>
      <c r="P36" s="405"/>
      <c r="Q36" s="405"/>
      <c r="R36" s="405"/>
      <c r="S36" s="405"/>
      <c r="T36" s="405"/>
      <c r="U36" s="405"/>
      <c r="V36" s="405"/>
      <c r="W36" s="405"/>
      <c r="X36" s="405"/>
      <c r="Y36" s="405"/>
      <c r="Z36" s="405"/>
      <c r="AA36" s="405"/>
      <c r="AB36" s="405"/>
      <c r="AC36" s="405"/>
      <c r="AD36" s="405"/>
      <c r="AE36" s="405"/>
      <c r="AF36" s="405"/>
      <c r="AG36" s="405"/>
    </row>
    <row r="37" spans="1:33" ht="21" x14ac:dyDescent="0.35">
      <c r="A37" s="425" t="s">
        <v>155</v>
      </c>
      <c r="B37" s="405"/>
      <c r="C37" s="405"/>
      <c r="D37" s="405"/>
      <c r="E37" s="405"/>
      <c r="F37" s="405"/>
      <c r="G37" s="405"/>
      <c r="H37" s="405"/>
      <c r="I37" s="405"/>
      <c r="J37" s="405"/>
      <c r="K37" s="405"/>
      <c r="L37" s="405"/>
      <c r="M37" s="405"/>
      <c r="N37" s="405"/>
      <c r="O37" s="405"/>
      <c r="P37" s="405"/>
      <c r="Q37" s="405"/>
      <c r="R37" s="405"/>
      <c r="S37" s="405"/>
      <c r="T37" s="405"/>
      <c r="U37" s="405"/>
      <c r="V37" s="405"/>
      <c r="W37" s="405"/>
      <c r="X37" s="405"/>
      <c r="Y37" s="405"/>
      <c r="Z37" s="405"/>
      <c r="AA37" s="405"/>
      <c r="AB37" s="405"/>
      <c r="AC37" s="405"/>
      <c r="AD37" s="405"/>
      <c r="AE37" s="405"/>
      <c r="AF37" s="405"/>
      <c r="AG37" s="405"/>
    </row>
    <row r="38" spans="1:33" ht="30" customHeight="1" x14ac:dyDescent="0.25">
      <c r="A38" s="426" t="s">
        <v>156</v>
      </c>
      <c r="B38" s="1117" t="s">
        <v>157</v>
      </c>
      <c r="C38" s="1117"/>
      <c r="D38" s="1117"/>
      <c r="E38" s="1117"/>
      <c r="F38" s="1117"/>
      <c r="G38" s="1117"/>
      <c r="H38" s="427"/>
      <c r="I38" s="428" t="s">
        <v>158</v>
      </c>
      <c r="J38" s="559" t="s">
        <v>159</v>
      </c>
      <c r="K38" s="429" t="s">
        <v>225</v>
      </c>
      <c r="L38" s="405"/>
      <c r="M38" s="405"/>
      <c r="N38" s="405"/>
      <c r="O38" s="405"/>
      <c r="P38" s="405"/>
      <c r="Q38" s="405"/>
      <c r="R38" s="405"/>
      <c r="S38" s="405"/>
      <c r="T38" s="405"/>
      <c r="U38" s="405"/>
      <c r="V38" s="405"/>
      <c r="W38" s="405"/>
      <c r="X38" s="405"/>
      <c r="Y38" s="405"/>
      <c r="Z38" s="405"/>
      <c r="AA38" s="405"/>
      <c r="AB38" s="405"/>
      <c r="AC38" s="405"/>
      <c r="AD38" s="405"/>
      <c r="AE38" s="405"/>
      <c r="AF38" s="405"/>
      <c r="AG38" s="405"/>
    </row>
    <row r="39" spans="1:33" x14ac:dyDescent="0.25">
      <c r="A39" s="430">
        <v>1</v>
      </c>
      <c r="B39" s="571" t="s">
        <v>160</v>
      </c>
      <c r="C39" s="572"/>
      <c r="D39" s="572"/>
      <c r="E39" s="572"/>
      <c r="F39" s="572"/>
      <c r="G39" s="573"/>
      <c r="H39" s="431"/>
      <c r="I39" s="432"/>
      <c r="J39" s="560">
        <f>'PC 1 Exploration'!K99</f>
        <v>0</v>
      </c>
      <c r="K39" s="433" t="str">
        <f>IF(J39&lt;1,"",J39/J$73)</f>
        <v/>
      </c>
      <c r="L39" s="405"/>
      <c r="M39" s="405"/>
      <c r="N39" s="405"/>
      <c r="O39" s="405"/>
      <c r="P39" s="405"/>
      <c r="Q39" s="405"/>
      <c r="R39" s="405"/>
      <c r="S39" s="405"/>
      <c r="T39" s="405"/>
      <c r="U39" s="405"/>
      <c r="V39" s="405"/>
      <c r="W39" s="405"/>
      <c r="X39" s="405"/>
      <c r="Y39" s="405"/>
      <c r="Z39" s="405"/>
      <c r="AA39" s="405"/>
      <c r="AB39" s="405"/>
      <c r="AC39" s="405"/>
      <c r="AD39" s="405"/>
      <c r="AE39" s="405"/>
      <c r="AF39" s="405"/>
      <c r="AG39" s="405"/>
    </row>
    <row r="40" spans="1:33" x14ac:dyDescent="0.25">
      <c r="A40" s="434">
        <v>2</v>
      </c>
      <c r="B40" s="574" t="s">
        <v>161</v>
      </c>
      <c r="C40" s="575"/>
      <c r="D40" s="575"/>
      <c r="E40" s="575"/>
      <c r="F40" s="575"/>
      <c r="G40" s="576"/>
      <c r="H40" s="435"/>
      <c r="I40" s="436"/>
      <c r="J40" s="563">
        <f>'PC 2 Underground Workings'!K59</f>
        <v>0</v>
      </c>
      <c r="K40" s="437" t="str">
        <f>IF(J40&lt;1,"",J40/J$73)</f>
        <v/>
      </c>
      <c r="L40" s="405"/>
      <c r="M40" s="405"/>
      <c r="N40" s="405"/>
      <c r="O40" s="405"/>
      <c r="P40" s="405"/>
      <c r="Q40" s="405"/>
      <c r="R40" s="405"/>
      <c r="S40" s="405"/>
      <c r="T40" s="405"/>
      <c r="U40" s="405"/>
      <c r="V40" s="405"/>
      <c r="W40" s="405"/>
      <c r="X40" s="405"/>
      <c r="Y40" s="405"/>
      <c r="Z40" s="405"/>
      <c r="AA40" s="405"/>
      <c r="AB40" s="405"/>
      <c r="AC40" s="405"/>
      <c r="AD40" s="405"/>
      <c r="AE40" s="405"/>
      <c r="AF40" s="405"/>
      <c r="AG40" s="405"/>
    </row>
    <row r="41" spans="1:33" x14ac:dyDescent="0.25">
      <c r="A41" s="434">
        <v>3</v>
      </c>
      <c r="B41" s="574" t="s">
        <v>162</v>
      </c>
      <c r="C41" s="575"/>
      <c r="D41" s="575"/>
      <c r="E41" s="575"/>
      <c r="F41" s="575"/>
      <c r="G41" s="576"/>
      <c r="H41" s="435">
        <v>1</v>
      </c>
      <c r="I41" s="436">
        <f>'PC 3 Open Cut Pit 1'!K57</f>
        <v>0</v>
      </c>
      <c r="J41" s="561"/>
      <c r="K41" s="437"/>
      <c r="L41" s="405"/>
      <c r="M41" s="405"/>
      <c r="N41" s="405"/>
      <c r="O41" s="405"/>
      <c r="P41" s="405"/>
      <c r="Q41" s="405"/>
      <c r="R41" s="405"/>
      <c r="S41" s="405"/>
      <c r="T41" s="405"/>
      <c r="U41" s="405"/>
      <c r="V41" s="405"/>
      <c r="W41" s="405"/>
      <c r="X41" s="405"/>
      <c r="Y41" s="405"/>
      <c r="Z41" s="405"/>
      <c r="AA41" s="405"/>
      <c r="AB41" s="405"/>
      <c r="AC41" s="405"/>
      <c r="AD41" s="405"/>
      <c r="AE41" s="405"/>
      <c r="AF41" s="405"/>
      <c r="AG41" s="405"/>
    </row>
    <row r="42" spans="1:33" x14ac:dyDescent="0.25">
      <c r="A42" s="434"/>
      <c r="B42" s="574"/>
      <c r="C42" s="575"/>
      <c r="D42" s="575"/>
      <c r="E42" s="575"/>
      <c r="F42" s="575"/>
      <c r="G42" s="576"/>
      <c r="H42" s="435">
        <v>2</v>
      </c>
      <c r="I42" s="436">
        <f>'PC 3 Open Cut Pit 2'!K57</f>
        <v>0</v>
      </c>
      <c r="J42" s="561"/>
      <c r="K42" s="437"/>
      <c r="L42" s="405"/>
      <c r="M42" s="405"/>
      <c r="N42" s="405"/>
      <c r="O42" s="405"/>
      <c r="P42" s="405"/>
      <c r="Q42" s="405"/>
      <c r="R42" s="405"/>
      <c r="S42" s="405"/>
      <c r="T42" s="405"/>
      <c r="U42" s="405"/>
      <c r="V42" s="405"/>
      <c r="W42" s="405"/>
      <c r="X42" s="405"/>
      <c r="Y42" s="405"/>
      <c r="Z42" s="405"/>
      <c r="AA42" s="405"/>
      <c r="AB42" s="405"/>
      <c r="AC42" s="405"/>
      <c r="AD42" s="405"/>
      <c r="AE42" s="405"/>
      <c r="AF42" s="405"/>
      <c r="AG42" s="405"/>
    </row>
    <row r="43" spans="1:33" x14ac:dyDescent="0.25">
      <c r="A43" s="434"/>
      <c r="B43" s="574"/>
      <c r="C43" s="575"/>
      <c r="D43" s="575"/>
      <c r="E43" s="575"/>
      <c r="F43" s="575"/>
      <c r="G43" s="576"/>
      <c r="H43" s="435">
        <v>3</v>
      </c>
      <c r="I43" s="436">
        <f>'PC 3 Open Cut Pit 3'!K57</f>
        <v>0</v>
      </c>
      <c r="J43" s="562">
        <f>I43+I42+I41</f>
        <v>0</v>
      </c>
      <c r="K43" s="437" t="str">
        <f>IF(J43&lt;1,"",J43/J$73)</f>
        <v/>
      </c>
      <c r="L43" s="405"/>
      <c r="M43" s="405"/>
      <c r="N43" s="405"/>
      <c r="O43" s="405"/>
      <c r="P43" s="405"/>
      <c r="Q43" s="405"/>
      <c r="R43" s="405"/>
      <c r="S43" s="405"/>
      <c r="T43" s="405"/>
      <c r="U43" s="405"/>
      <c r="V43" s="405"/>
      <c r="W43" s="405"/>
      <c r="X43" s="405"/>
      <c r="Y43" s="405"/>
      <c r="Z43" s="405"/>
      <c r="AA43" s="405"/>
      <c r="AB43" s="405"/>
      <c r="AC43" s="405"/>
      <c r="AD43" s="405"/>
      <c r="AE43" s="405"/>
      <c r="AF43" s="405"/>
      <c r="AG43" s="405"/>
    </row>
    <row r="44" spans="1:33" x14ac:dyDescent="0.25">
      <c r="A44" s="434">
        <v>4</v>
      </c>
      <c r="B44" s="574" t="s">
        <v>575</v>
      </c>
      <c r="C44" s="575"/>
      <c r="D44" s="575"/>
      <c r="E44" s="575"/>
      <c r="F44" s="575"/>
      <c r="G44" s="576"/>
      <c r="H44" s="435">
        <v>1</v>
      </c>
      <c r="I44" s="436">
        <f>'PC 4 Waste Dumps 1'!K53</f>
        <v>0</v>
      </c>
      <c r="J44" s="561"/>
      <c r="K44" s="437"/>
      <c r="L44" s="405"/>
      <c r="M44" s="405"/>
      <c r="N44" s="405"/>
      <c r="O44" s="405"/>
      <c r="P44" s="405"/>
      <c r="Q44" s="405"/>
      <c r="R44" s="405"/>
      <c r="S44" s="405"/>
      <c r="T44" s="405"/>
      <c r="U44" s="405"/>
      <c r="V44" s="405"/>
      <c r="W44" s="405"/>
      <c r="X44" s="405"/>
      <c r="Y44" s="405"/>
      <c r="Z44" s="405"/>
      <c r="AA44" s="405"/>
      <c r="AB44" s="405"/>
      <c r="AC44" s="405"/>
      <c r="AD44" s="405"/>
      <c r="AE44" s="405"/>
      <c r="AF44" s="405"/>
      <c r="AG44" s="405"/>
    </row>
    <row r="45" spans="1:33" x14ac:dyDescent="0.25">
      <c r="A45" s="434"/>
      <c r="B45" s="574"/>
      <c r="C45" s="575"/>
      <c r="D45" s="575"/>
      <c r="E45" s="575"/>
      <c r="F45" s="575"/>
      <c r="G45" s="576"/>
      <c r="H45" s="435">
        <v>2</v>
      </c>
      <c r="I45" s="436">
        <f>'PC 4 Waste Dumps 2'!K53</f>
        <v>0</v>
      </c>
      <c r="J45" s="561"/>
      <c r="K45" s="437"/>
      <c r="L45" s="405"/>
      <c r="M45" s="405"/>
      <c r="N45" s="405"/>
      <c r="O45" s="405"/>
      <c r="P45" s="405"/>
      <c r="Q45" s="405"/>
      <c r="R45" s="405"/>
      <c r="S45" s="405"/>
      <c r="T45" s="405"/>
      <c r="U45" s="405"/>
      <c r="V45" s="405"/>
      <c r="W45" s="405"/>
      <c r="X45" s="405"/>
      <c r="Y45" s="405"/>
      <c r="Z45" s="405"/>
      <c r="AA45" s="405"/>
      <c r="AB45" s="405"/>
      <c r="AC45" s="405"/>
      <c r="AD45" s="405"/>
      <c r="AE45" s="405"/>
      <c r="AF45" s="405"/>
      <c r="AG45" s="405"/>
    </row>
    <row r="46" spans="1:33" x14ac:dyDescent="0.25">
      <c r="A46" s="434"/>
      <c r="B46" s="574"/>
      <c r="C46" s="575"/>
      <c r="D46" s="575"/>
      <c r="E46" s="575"/>
      <c r="F46" s="575"/>
      <c r="G46" s="576"/>
      <c r="H46" s="435">
        <v>3</v>
      </c>
      <c r="I46" s="436">
        <f>'PC 4 Waste Dumps 3'!K53</f>
        <v>0</v>
      </c>
      <c r="J46" s="563">
        <f>I46+I45+I44</f>
        <v>0</v>
      </c>
      <c r="K46" s="437" t="str">
        <f>IF(J46&lt;1,"",J46/J$73)</f>
        <v/>
      </c>
      <c r="L46" s="405"/>
      <c r="M46" s="405"/>
      <c r="N46" s="405"/>
      <c r="O46" s="405"/>
      <c r="P46" s="405"/>
      <c r="Q46" s="405"/>
      <c r="R46" s="405"/>
      <c r="S46" s="405"/>
      <c r="T46" s="405"/>
      <c r="U46" s="405"/>
      <c r="V46" s="405"/>
      <c r="W46" s="405"/>
      <c r="X46" s="405"/>
      <c r="Y46" s="405"/>
      <c r="Z46" s="405"/>
      <c r="AA46" s="405"/>
      <c r="AB46" s="405"/>
      <c r="AC46" s="405"/>
      <c r="AD46" s="405"/>
      <c r="AE46" s="405"/>
      <c r="AF46" s="405"/>
      <c r="AG46" s="405"/>
    </row>
    <row r="47" spans="1:33" x14ac:dyDescent="0.25">
      <c r="A47" s="434">
        <v>5</v>
      </c>
      <c r="B47" s="574" t="s">
        <v>163</v>
      </c>
      <c r="C47" s="575"/>
      <c r="D47" s="575"/>
      <c r="E47" s="575"/>
      <c r="F47" s="575"/>
      <c r="G47" s="576"/>
      <c r="H47" s="435"/>
      <c r="I47" s="436"/>
      <c r="J47" s="563">
        <f>'PC 5 Processing Facilities'!K66</f>
        <v>0</v>
      </c>
      <c r="K47" s="437" t="str">
        <f>IF(J47&lt;1,"",J47/J$73)</f>
        <v/>
      </c>
      <c r="L47" s="405"/>
      <c r="M47" s="405"/>
      <c r="N47" s="405"/>
      <c r="O47" s="405"/>
      <c r="P47" s="405"/>
      <c r="Q47" s="405"/>
      <c r="R47" s="405"/>
      <c r="S47" s="405"/>
      <c r="T47" s="405"/>
      <c r="U47" s="405"/>
      <c r="V47" s="405"/>
      <c r="W47" s="405"/>
      <c r="X47" s="405"/>
      <c r="Y47" s="405"/>
      <c r="Z47" s="405"/>
      <c r="AA47" s="405"/>
      <c r="AB47" s="405"/>
      <c r="AC47" s="405"/>
      <c r="AD47" s="405"/>
      <c r="AE47" s="405"/>
      <c r="AF47" s="405"/>
      <c r="AG47" s="405"/>
    </row>
    <row r="48" spans="1:33" x14ac:dyDescent="0.25">
      <c r="A48" s="434">
        <v>6</v>
      </c>
      <c r="B48" s="574" t="s">
        <v>164</v>
      </c>
      <c r="C48" s="575"/>
      <c r="D48" s="575"/>
      <c r="E48" s="575"/>
      <c r="F48" s="575"/>
      <c r="G48" s="576"/>
      <c r="H48" s="435">
        <v>1</v>
      </c>
      <c r="I48" s="436">
        <f>'PC 6 Tailings Storage 1'!K55</f>
        <v>0</v>
      </c>
      <c r="J48" s="561"/>
      <c r="K48" s="437"/>
      <c r="L48" s="405"/>
      <c r="M48" s="405"/>
      <c r="N48" s="405"/>
      <c r="O48" s="405"/>
      <c r="P48" s="405"/>
      <c r="Q48" s="405"/>
      <c r="R48" s="405"/>
      <c r="S48" s="405"/>
      <c r="T48" s="405"/>
      <c r="U48" s="405"/>
      <c r="V48" s="405"/>
      <c r="W48" s="405"/>
      <c r="X48" s="405"/>
      <c r="Y48" s="405"/>
      <c r="Z48" s="405"/>
      <c r="AA48" s="405"/>
      <c r="AB48" s="405"/>
      <c r="AC48" s="405"/>
      <c r="AD48" s="405"/>
      <c r="AE48" s="405"/>
      <c r="AF48" s="405"/>
      <c r="AG48" s="405"/>
    </row>
    <row r="49" spans="1:33" x14ac:dyDescent="0.25">
      <c r="A49" s="434"/>
      <c r="B49" s="574"/>
      <c r="C49" s="575"/>
      <c r="D49" s="575"/>
      <c r="E49" s="575"/>
      <c r="F49" s="575"/>
      <c r="G49" s="576"/>
      <c r="H49" s="435">
        <v>2</v>
      </c>
      <c r="I49" s="436">
        <f>'PC 6 Tailings Storage 2'!K55</f>
        <v>0</v>
      </c>
      <c r="J49" s="561"/>
      <c r="K49" s="437"/>
      <c r="L49" s="405"/>
      <c r="M49" s="405"/>
      <c r="N49" s="405"/>
      <c r="O49" s="405"/>
      <c r="P49" s="405"/>
      <c r="Q49" s="405"/>
      <c r="R49" s="405"/>
      <c r="S49" s="405"/>
      <c r="T49" s="405"/>
      <c r="U49" s="405"/>
      <c r="V49" s="405"/>
      <c r="W49" s="405"/>
      <c r="X49" s="405"/>
      <c r="Y49" s="405"/>
      <c r="Z49" s="405"/>
      <c r="AA49" s="405"/>
      <c r="AB49" s="405"/>
      <c r="AC49" s="405"/>
      <c r="AD49" s="405"/>
      <c r="AE49" s="405"/>
      <c r="AF49" s="405"/>
      <c r="AG49" s="405"/>
    </row>
    <row r="50" spans="1:33" x14ac:dyDescent="0.25">
      <c r="A50" s="434"/>
      <c r="B50" s="574"/>
      <c r="C50" s="575"/>
      <c r="D50" s="575"/>
      <c r="E50" s="575"/>
      <c r="F50" s="575"/>
      <c r="G50" s="576"/>
      <c r="H50" s="435">
        <v>3</v>
      </c>
      <c r="I50" s="436">
        <f>'PC 6 Tailings Storage 3'!K55</f>
        <v>0</v>
      </c>
      <c r="J50" s="563">
        <f>I50+I49+I48</f>
        <v>0</v>
      </c>
      <c r="K50" s="437" t="str">
        <f>IF(J50&lt;1,"",J50/J$73)</f>
        <v/>
      </c>
      <c r="L50" s="405"/>
      <c r="M50" s="405"/>
      <c r="N50" s="405"/>
      <c r="O50" s="405"/>
      <c r="P50" s="405"/>
      <c r="Q50" s="405"/>
      <c r="R50" s="405"/>
      <c r="S50" s="405"/>
      <c r="T50" s="405"/>
      <c r="U50" s="405"/>
      <c r="V50" s="405"/>
      <c r="W50" s="405"/>
      <c r="X50" s="405"/>
      <c r="Y50" s="405"/>
      <c r="Z50" s="405"/>
      <c r="AA50" s="405"/>
      <c r="AB50" s="405"/>
      <c r="AC50" s="405"/>
      <c r="AD50" s="405"/>
      <c r="AE50" s="405"/>
      <c r="AF50" s="405"/>
      <c r="AG50" s="405"/>
    </row>
    <row r="51" spans="1:33" x14ac:dyDescent="0.25">
      <c r="A51" s="434">
        <v>7</v>
      </c>
      <c r="B51" s="574" t="s">
        <v>165</v>
      </c>
      <c r="C51" s="575"/>
      <c r="D51" s="575"/>
      <c r="E51" s="575"/>
      <c r="F51" s="575"/>
      <c r="G51" s="576"/>
      <c r="H51" s="435">
        <v>1</v>
      </c>
      <c r="I51" s="436">
        <f>'PC 7 Heap Leach Facilities 1'!K58</f>
        <v>0</v>
      </c>
      <c r="J51" s="563"/>
      <c r="K51" s="437"/>
      <c r="L51" s="405"/>
      <c r="M51" s="405"/>
      <c r="N51" s="405"/>
      <c r="O51" s="405"/>
      <c r="P51" s="405"/>
      <c r="Q51" s="405"/>
      <c r="R51" s="405"/>
      <c r="S51" s="405"/>
      <c r="T51" s="405"/>
      <c r="U51" s="405"/>
      <c r="V51" s="405"/>
      <c r="W51" s="405"/>
      <c r="X51" s="405"/>
      <c r="Y51" s="405"/>
      <c r="Z51" s="405"/>
      <c r="AA51" s="405"/>
      <c r="AB51" s="405"/>
      <c r="AC51" s="405"/>
      <c r="AD51" s="405"/>
      <c r="AE51" s="405"/>
      <c r="AF51" s="405"/>
      <c r="AG51" s="405"/>
    </row>
    <row r="52" spans="1:33" x14ac:dyDescent="0.25">
      <c r="A52" s="434"/>
      <c r="B52" s="574"/>
      <c r="C52" s="575"/>
      <c r="D52" s="575"/>
      <c r="E52" s="575"/>
      <c r="F52" s="575"/>
      <c r="G52" s="576"/>
      <c r="H52" s="435">
        <v>2</v>
      </c>
      <c r="I52" s="436">
        <f>'PC 7 Heap Leach Facilities  2'!K58</f>
        <v>0</v>
      </c>
      <c r="J52" s="561">
        <f>I52+I51</f>
        <v>0</v>
      </c>
      <c r="K52" s="437" t="str">
        <f t="shared" ref="K52:K57" si="0">IF(J52&lt;1,"",J52/J$73)</f>
        <v/>
      </c>
      <c r="L52" s="405"/>
      <c r="M52" s="405"/>
      <c r="N52" s="405"/>
      <c r="O52" s="405"/>
      <c r="P52" s="405"/>
      <c r="Q52" s="405"/>
      <c r="R52" s="405"/>
      <c r="S52" s="405"/>
      <c r="T52" s="405"/>
      <c r="U52" s="405"/>
      <c r="V52" s="405"/>
      <c r="W52" s="405"/>
      <c r="X52" s="405"/>
      <c r="Y52" s="405"/>
      <c r="Z52" s="405"/>
      <c r="AA52" s="405"/>
      <c r="AB52" s="405"/>
      <c r="AC52" s="405"/>
      <c r="AD52" s="405"/>
      <c r="AE52" s="405"/>
      <c r="AF52" s="405"/>
      <c r="AG52" s="405"/>
    </row>
    <row r="53" spans="1:33" x14ac:dyDescent="0.25">
      <c r="A53" s="434">
        <v>8</v>
      </c>
      <c r="B53" s="574" t="s">
        <v>166</v>
      </c>
      <c r="C53" s="575"/>
      <c r="D53" s="575"/>
      <c r="E53" s="575"/>
      <c r="F53" s="575"/>
      <c r="G53" s="576"/>
      <c r="H53" s="435"/>
      <c r="I53" s="436"/>
      <c r="J53" s="563">
        <f>'PC 8 Rail Facilities'!K61</f>
        <v>0</v>
      </c>
      <c r="K53" s="437" t="str">
        <f t="shared" si="0"/>
        <v/>
      </c>
      <c r="L53" s="405"/>
      <c r="M53" s="405"/>
      <c r="N53" s="405"/>
      <c r="O53" s="405"/>
      <c r="P53" s="405"/>
      <c r="Q53" s="405"/>
      <c r="R53" s="405"/>
      <c r="S53" s="405"/>
      <c r="T53" s="405"/>
      <c r="U53" s="405"/>
      <c r="V53" s="405"/>
      <c r="W53" s="405"/>
      <c r="X53" s="405"/>
      <c r="Y53" s="405"/>
      <c r="Z53" s="405"/>
      <c r="AA53" s="405"/>
      <c r="AB53" s="405"/>
      <c r="AC53" s="405"/>
      <c r="AD53" s="405"/>
      <c r="AE53" s="405"/>
      <c r="AF53" s="405"/>
      <c r="AG53" s="405"/>
    </row>
    <row r="54" spans="1:33" x14ac:dyDescent="0.25">
      <c r="A54" s="434">
        <v>9</v>
      </c>
      <c r="B54" s="574" t="s">
        <v>167</v>
      </c>
      <c r="C54" s="575"/>
      <c r="D54" s="575"/>
      <c r="E54" s="575"/>
      <c r="F54" s="575"/>
      <c r="G54" s="576"/>
      <c r="H54" s="435"/>
      <c r="I54" s="436"/>
      <c r="J54" s="563">
        <f>'PC 9 Haul and Access Roads'!K37</f>
        <v>0</v>
      </c>
      <c r="K54" s="437" t="str">
        <f t="shared" si="0"/>
        <v/>
      </c>
      <c r="L54" s="405"/>
      <c r="M54" s="405"/>
      <c r="N54" s="405"/>
      <c r="O54" s="405"/>
      <c r="P54" s="405"/>
      <c r="Q54" s="405"/>
      <c r="R54" s="405"/>
      <c r="S54" s="405"/>
      <c r="T54" s="405"/>
      <c r="U54" s="405"/>
      <c r="V54" s="405"/>
      <c r="W54" s="405"/>
      <c r="X54" s="405"/>
      <c r="Y54" s="405"/>
      <c r="Z54" s="405"/>
      <c r="AA54" s="405"/>
      <c r="AB54" s="405"/>
      <c r="AC54" s="405"/>
      <c r="AD54" s="405"/>
      <c r="AE54" s="405"/>
      <c r="AF54" s="405"/>
      <c r="AG54" s="405"/>
    </row>
    <row r="55" spans="1:33" x14ac:dyDescent="0.25">
      <c r="A55" s="434">
        <v>10</v>
      </c>
      <c r="B55" s="574" t="s">
        <v>532</v>
      </c>
      <c r="C55" s="575"/>
      <c r="D55" s="575"/>
      <c r="E55" s="575"/>
      <c r="F55" s="575"/>
      <c r="G55" s="576"/>
      <c r="H55" s="435"/>
      <c r="I55" s="436"/>
      <c r="J55" s="563">
        <f>'PC 10 Admin and Accommodation'!K58</f>
        <v>0</v>
      </c>
      <c r="K55" s="437" t="str">
        <f t="shared" si="0"/>
        <v/>
      </c>
      <c r="L55" s="405"/>
      <c r="M55" s="405"/>
      <c r="N55" s="405"/>
      <c r="O55" s="405"/>
      <c r="P55" s="405"/>
      <c r="Q55" s="405"/>
      <c r="R55" s="405"/>
      <c r="S55" s="405"/>
      <c r="T55" s="405"/>
      <c r="U55" s="405"/>
      <c r="V55" s="405"/>
      <c r="W55" s="405"/>
      <c r="X55" s="405"/>
      <c r="Y55" s="405"/>
      <c r="Z55" s="405"/>
      <c r="AA55" s="405"/>
      <c r="AB55" s="405"/>
      <c r="AC55" s="405"/>
      <c r="AD55" s="405"/>
      <c r="AE55" s="405"/>
      <c r="AF55" s="405"/>
      <c r="AG55" s="405"/>
    </row>
    <row r="56" spans="1:33" x14ac:dyDescent="0.25">
      <c r="A56" s="434">
        <v>11</v>
      </c>
      <c r="B56" s="574" t="s">
        <v>168</v>
      </c>
      <c r="C56" s="575"/>
      <c r="D56" s="575"/>
      <c r="E56" s="575"/>
      <c r="F56" s="575"/>
      <c r="G56" s="576"/>
      <c r="H56" s="435"/>
      <c r="I56" s="436"/>
      <c r="J56" s="563">
        <f>'PC 11 Ancillary Areas '!K63</f>
        <v>0</v>
      </c>
      <c r="K56" s="437" t="str">
        <f t="shared" si="0"/>
        <v/>
      </c>
      <c r="L56" s="405"/>
      <c r="M56" s="405"/>
      <c r="N56" s="405"/>
      <c r="O56" s="405"/>
      <c r="P56" s="405"/>
      <c r="Q56" s="405"/>
      <c r="R56" s="405"/>
      <c r="S56" s="405"/>
      <c r="T56" s="405"/>
      <c r="U56" s="405"/>
      <c r="V56" s="405"/>
      <c r="W56" s="405"/>
      <c r="X56" s="405"/>
      <c r="Y56" s="405"/>
      <c r="Z56" s="405"/>
      <c r="AA56" s="405"/>
      <c r="AB56" s="405"/>
      <c r="AC56" s="405"/>
      <c r="AD56" s="405"/>
      <c r="AE56" s="405"/>
      <c r="AF56" s="405"/>
      <c r="AG56" s="405"/>
    </row>
    <row r="57" spans="1:33" x14ac:dyDescent="0.25">
      <c r="A57" s="434">
        <v>12</v>
      </c>
      <c r="B57" s="574" t="s">
        <v>169</v>
      </c>
      <c r="C57" s="575"/>
      <c r="D57" s="575"/>
      <c r="E57" s="575"/>
      <c r="F57" s="575"/>
      <c r="G57" s="576"/>
      <c r="H57" s="435"/>
      <c r="I57" s="436"/>
      <c r="J57" s="563">
        <f>'PC 12 Borrow Pits'!K54</f>
        <v>0</v>
      </c>
      <c r="K57" s="437" t="str">
        <f t="shared" si="0"/>
        <v/>
      </c>
      <c r="L57" s="405"/>
      <c r="M57" s="405"/>
      <c r="N57" s="405"/>
      <c r="O57" s="405"/>
      <c r="P57" s="405"/>
      <c r="Q57" s="405"/>
      <c r="R57" s="405"/>
      <c r="S57" s="405"/>
      <c r="T57" s="405"/>
      <c r="U57" s="405"/>
      <c r="V57" s="405"/>
      <c r="W57" s="405"/>
      <c r="X57" s="405"/>
      <c r="Y57" s="405"/>
      <c r="Z57" s="405"/>
      <c r="AA57" s="405"/>
      <c r="AB57" s="405"/>
      <c r="AC57" s="405"/>
      <c r="AD57" s="405"/>
      <c r="AE57" s="405"/>
      <c r="AF57" s="405"/>
      <c r="AG57" s="405"/>
    </row>
    <row r="58" spans="1:33" x14ac:dyDescent="0.25">
      <c r="A58" s="434">
        <v>13</v>
      </c>
      <c r="B58" s="574" t="s">
        <v>567</v>
      </c>
      <c r="C58" s="575"/>
      <c r="D58" s="575"/>
      <c r="E58" s="575"/>
      <c r="F58" s="575"/>
      <c r="G58" s="576"/>
      <c r="H58" s="435">
        <v>1</v>
      </c>
      <c r="I58" s="436">
        <f>'PC 13 Services Infrastructure 1'!K57</f>
        <v>0</v>
      </c>
      <c r="J58" s="563"/>
      <c r="K58" s="437"/>
      <c r="L58" s="405"/>
      <c r="M58" s="405"/>
      <c r="N58" s="405"/>
      <c r="O58" s="405"/>
      <c r="P58" s="405"/>
      <c r="Q58" s="405"/>
      <c r="R58" s="405"/>
      <c r="S58" s="405"/>
      <c r="T58" s="405"/>
      <c r="U58" s="405"/>
      <c r="V58" s="405"/>
      <c r="W58" s="405"/>
      <c r="X58" s="405"/>
      <c r="Y58" s="405"/>
      <c r="Z58" s="405"/>
      <c r="AA58" s="405"/>
      <c r="AB58" s="405"/>
      <c r="AC58" s="405"/>
      <c r="AD58" s="405"/>
      <c r="AE58" s="405"/>
      <c r="AF58" s="405"/>
      <c r="AG58" s="405"/>
    </row>
    <row r="59" spans="1:33" x14ac:dyDescent="0.25">
      <c r="A59" s="434"/>
      <c r="B59" s="574"/>
      <c r="C59" s="575"/>
      <c r="D59" s="575"/>
      <c r="E59" s="575"/>
      <c r="F59" s="575"/>
      <c r="G59" s="576"/>
      <c r="H59" s="435">
        <v>2</v>
      </c>
      <c r="I59" s="436">
        <f>'PC 13 Services Infrastructure 2'!K57</f>
        <v>0</v>
      </c>
      <c r="J59" s="561"/>
      <c r="K59" s="437"/>
      <c r="L59" s="405"/>
      <c r="M59" s="405"/>
      <c r="N59" s="405"/>
      <c r="O59" s="405"/>
      <c r="P59" s="405"/>
      <c r="Q59" s="405"/>
      <c r="R59" s="405"/>
      <c r="S59" s="405"/>
      <c r="T59" s="405"/>
      <c r="U59" s="405"/>
      <c r="V59" s="405"/>
      <c r="W59" s="405"/>
      <c r="X59" s="405"/>
      <c r="Y59" s="405"/>
      <c r="Z59" s="405"/>
      <c r="AA59" s="405"/>
      <c r="AB59" s="405"/>
      <c r="AC59" s="405"/>
      <c r="AD59" s="405"/>
      <c r="AE59" s="405"/>
      <c r="AF59" s="405"/>
      <c r="AG59" s="405"/>
    </row>
    <row r="60" spans="1:33" x14ac:dyDescent="0.25">
      <c r="A60" s="434"/>
      <c r="B60" s="574"/>
      <c r="C60" s="575"/>
      <c r="D60" s="575"/>
      <c r="E60" s="575"/>
      <c r="F60" s="575"/>
      <c r="G60" s="576"/>
      <c r="H60" s="435">
        <v>3</v>
      </c>
      <c r="I60" s="436">
        <f>'PC 13 Services Infrastructure 3'!K57</f>
        <v>0</v>
      </c>
      <c r="J60" s="561">
        <f>I60+I59+I58</f>
        <v>0</v>
      </c>
      <c r="K60" s="437" t="str">
        <f>IF(J60&lt;1,"",J60/J$73)</f>
        <v/>
      </c>
      <c r="L60" s="405"/>
      <c r="M60" s="405"/>
      <c r="N60" s="405"/>
      <c r="O60" s="405"/>
      <c r="P60" s="405"/>
      <c r="Q60" s="405"/>
      <c r="R60" s="405"/>
      <c r="S60" s="405"/>
      <c r="T60" s="405"/>
      <c r="U60" s="405"/>
      <c r="V60" s="405"/>
      <c r="W60" s="405"/>
      <c r="X60" s="405"/>
      <c r="Y60" s="405"/>
      <c r="Z60" s="405"/>
      <c r="AA60" s="405"/>
      <c r="AB60" s="405"/>
      <c r="AC60" s="405"/>
      <c r="AD60" s="405"/>
      <c r="AE60" s="405"/>
      <c r="AF60" s="405"/>
      <c r="AG60" s="405"/>
    </row>
    <row r="61" spans="1:33" x14ac:dyDescent="0.25">
      <c r="A61" s="434">
        <v>14</v>
      </c>
      <c r="B61" s="574" t="s">
        <v>574</v>
      </c>
      <c r="C61" s="575"/>
      <c r="D61" s="575"/>
      <c r="E61" s="575"/>
      <c r="F61" s="575"/>
      <c r="G61" s="576"/>
      <c r="H61" s="435"/>
      <c r="I61" s="436"/>
      <c r="J61" s="563">
        <f>'PC 14 Water Management'!K61</f>
        <v>0</v>
      </c>
      <c r="K61" s="437" t="str">
        <f>IF(J61&lt;1,"",J61/J$73)</f>
        <v/>
      </c>
      <c r="L61" s="405"/>
      <c r="M61" s="405"/>
      <c r="N61" s="405"/>
      <c r="O61" s="405"/>
      <c r="P61" s="405"/>
      <c r="Q61" s="405"/>
      <c r="R61" s="405"/>
      <c r="S61" s="405"/>
      <c r="T61" s="405"/>
      <c r="U61" s="405"/>
      <c r="V61" s="405"/>
      <c r="W61" s="405"/>
      <c r="X61" s="405"/>
      <c r="Y61" s="405"/>
      <c r="Z61" s="405"/>
      <c r="AA61" s="405"/>
      <c r="AB61" s="405"/>
      <c r="AC61" s="405"/>
      <c r="AD61" s="405"/>
      <c r="AE61" s="405"/>
      <c r="AF61" s="405"/>
      <c r="AG61" s="405"/>
    </row>
    <row r="62" spans="1:33" x14ac:dyDescent="0.25">
      <c r="A62" s="588">
        <v>16</v>
      </c>
      <c r="B62" s="589" t="s">
        <v>898</v>
      </c>
      <c r="C62" s="579"/>
      <c r="D62" s="579"/>
      <c r="E62" s="579"/>
      <c r="F62" s="579"/>
      <c r="G62" s="590"/>
      <c r="H62" s="591"/>
      <c r="I62" s="464"/>
      <c r="J62" s="611">
        <f>'PC 16 Equipment Mob &amp; Demob'!K34</f>
        <v>0</v>
      </c>
      <c r="K62" s="444" t="str">
        <f>IF(J62&lt;1,"",J62/J$73)</f>
        <v/>
      </c>
      <c r="L62" s="405"/>
      <c r="M62" s="405"/>
      <c r="N62" s="405"/>
      <c r="O62" s="405"/>
      <c r="P62" s="405"/>
      <c r="Q62" s="405"/>
      <c r="R62" s="405"/>
      <c r="S62" s="405"/>
      <c r="T62" s="405"/>
      <c r="U62" s="405"/>
      <c r="V62" s="405"/>
      <c r="W62" s="405"/>
      <c r="X62" s="405"/>
      <c r="Y62" s="405"/>
      <c r="Z62" s="405"/>
      <c r="AA62" s="405"/>
      <c r="AB62" s="405"/>
      <c r="AC62" s="405"/>
      <c r="AD62" s="405"/>
      <c r="AE62" s="405"/>
      <c r="AF62" s="405"/>
      <c r="AG62" s="405"/>
    </row>
    <row r="63" spans="1:33" ht="15.75" x14ac:dyDescent="0.25">
      <c r="A63" s="596"/>
      <c r="B63" s="597" t="s">
        <v>170</v>
      </c>
      <c r="C63" s="598"/>
      <c r="D63" s="598"/>
      <c r="E63" s="598"/>
      <c r="F63" s="598"/>
      <c r="G63" s="599"/>
      <c r="H63" s="600"/>
      <c r="I63" s="600"/>
      <c r="J63" s="601">
        <f>SUM(J39:J62)</f>
        <v>0</v>
      </c>
      <c r="K63" s="751" t="str">
        <f>IF(J63&lt;1,"",J63/J$73)</f>
        <v/>
      </c>
      <c r="L63" s="405"/>
      <c r="M63" s="405"/>
      <c r="N63" s="405"/>
      <c r="O63" s="405"/>
      <c r="P63" s="405"/>
      <c r="Q63" s="405"/>
      <c r="R63" s="405"/>
      <c r="S63" s="405"/>
      <c r="T63" s="405"/>
      <c r="U63" s="405"/>
      <c r="V63" s="405"/>
      <c r="W63" s="405"/>
      <c r="X63" s="405"/>
      <c r="Y63" s="405"/>
      <c r="Z63" s="405"/>
      <c r="AA63" s="405"/>
      <c r="AB63" s="405"/>
      <c r="AC63" s="405"/>
      <c r="AD63" s="405"/>
      <c r="AE63" s="405"/>
      <c r="AF63" s="405"/>
      <c r="AG63" s="405"/>
    </row>
    <row r="64" spans="1:33" x14ac:dyDescent="0.25">
      <c r="A64" s="430">
        <v>17</v>
      </c>
      <c r="B64" s="592" t="s">
        <v>171</v>
      </c>
      <c r="C64" s="584"/>
      <c r="D64" s="584"/>
      <c r="E64" s="584"/>
      <c r="F64" s="584"/>
      <c r="G64" s="585"/>
      <c r="H64" s="593" t="s">
        <v>180</v>
      </c>
      <c r="I64" s="593" t="s">
        <v>181</v>
      </c>
      <c r="J64" s="594"/>
      <c r="K64" s="595" t="str">
        <f t="shared" ref="K64:K71" si="1">IF(J64&lt;1,"",J64/J$73)</f>
        <v/>
      </c>
      <c r="L64" s="405"/>
      <c r="M64" s="405"/>
      <c r="N64" s="405"/>
      <c r="O64" s="405"/>
      <c r="P64" s="405"/>
      <c r="Q64" s="405"/>
      <c r="R64" s="405"/>
      <c r="S64" s="405"/>
      <c r="T64" s="405"/>
      <c r="U64" s="405"/>
      <c r="V64" s="405"/>
      <c r="W64" s="405"/>
      <c r="X64" s="405"/>
      <c r="Y64" s="405"/>
      <c r="Z64" s="405"/>
      <c r="AA64" s="405"/>
      <c r="AB64" s="405"/>
      <c r="AC64" s="405"/>
      <c r="AD64" s="405"/>
      <c r="AE64" s="405"/>
      <c r="AF64" s="405"/>
      <c r="AG64" s="405"/>
    </row>
    <row r="65" spans="1:33" x14ac:dyDescent="0.25">
      <c r="A65" s="438"/>
      <c r="B65" s="577"/>
      <c r="C65" s="575"/>
      <c r="D65" s="575"/>
      <c r="E65" s="575"/>
      <c r="F65" s="575"/>
      <c r="G65" s="578" t="s">
        <v>172</v>
      </c>
      <c r="H65" s="439" t="s">
        <v>226</v>
      </c>
      <c r="I65" s="436">
        <f>'PC 17 Monitoring and Other Cost'!I18</f>
        <v>0</v>
      </c>
      <c r="J65" s="565"/>
      <c r="K65" s="437" t="str">
        <f t="shared" si="1"/>
        <v/>
      </c>
      <c r="L65" s="405"/>
      <c r="M65" s="405"/>
      <c r="N65" s="405"/>
      <c r="O65" s="405"/>
      <c r="P65" s="405"/>
      <c r="Q65" s="405"/>
      <c r="R65" s="405"/>
      <c r="S65" s="405"/>
      <c r="T65" s="405"/>
      <c r="U65" s="405"/>
      <c r="V65" s="405"/>
      <c r="W65" s="405"/>
      <c r="X65" s="405"/>
      <c r="Y65" s="405"/>
      <c r="Z65" s="405"/>
      <c r="AA65" s="405"/>
      <c r="AB65" s="405"/>
      <c r="AC65" s="405"/>
      <c r="AD65" s="405"/>
      <c r="AE65" s="405"/>
      <c r="AF65" s="405"/>
      <c r="AG65" s="405"/>
    </row>
    <row r="66" spans="1:33" x14ac:dyDescent="0.25">
      <c r="A66" s="438"/>
      <c r="B66" s="577"/>
      <c r="C66" s="575"/>
      <c r="D66" s="575"/>
      <c r="E66" s="575"/>
      <c r="F66" s="575"/>
      <c r="G66" s="578" t="s">
        <v>173</v>
      </c>
      <c r="H66" s="440">
        <f>IF('PC 17 Monitoring and Other Cost'!H19="",'PC 17 Monitoring and Other Cost'!G19,'PC 17 Monitoring and Other Cost'!H19)</f>
        <v>0.1</v>
      </c>
      <c r="I66" s="436">
        <f>'PC 17 Monitoring and Other Cost'!I19</f>
        <v>0</v>
      </c>
      <c r="J66" s="565"/>
      <c r="K66" s="437" t="str">
        <f t="shared" si="1"/>
        <v/>
      </c>
      <c r="L66" s="405"/>
      <c r="M66" s="405"/>
      <c r="N66" s="405"/>
      <c r="O66" s="405"/>
      <c r="P66" s="405"/>
      <c r="Q66" s="405"/>
      <c r="R66" s="405"/>
      <c r="S66" s="405"/>
      <c r="T66" s="405"/>
      <c r="U66" s="405"/>
      <c r="V66" s="405"/>
      <c r="W66" s="405"/>
      <c r="X66" s="405"/>
      <c r="Y66" s="405"/>
      <c r="Z66" s="405"/>
      <c r="AA66" s="405"/>
      <c r="AB66" s="405"/>
      <c r="AC66" s="405"/>
      <c r="AD66" s="405"/>
      <c r="AE66" s="405"/>
      <c r="AF66" s="405"/>
      <c r="AG66" s="405"/>
    </row>
    <row r="67" spans="1:33" x14ac:dyDescent="0.25">
      <c r="A67" s="438"/>
      <c r="B67" s="577"/>
      <c r="C67" s="575"/>
      <c r="D67" s="575"/>
      <c r="E67" s="575"/>
      <c r="F67" s="575"/>
      <c r="G67" s="578" t="s">
        <v>174</v>
      </c>
      <c r="H67" s="440">
        <f>IF('PC 17 Monitoring and Other Cost'!H20="",'PC 17 Monitoring and Other Cost'!G20,'PC 17 Monitoring and Other Cost'!H20)</f>
        <v>7.4999999999999997E-2</v>
      </c>
      <c r="I67" s="436">
        <f>'PC 17 Monitoring and Other Cost'!I20</f>
        <v>0</v>
      </c>
      <c r="J67" s="565"/>
      <c r="K67" s="437" t="str">
        <f t="shared" si="1"/>
        <v/>
      </c>
      <c r="L67" s="405"/>
      <c r="M67" s="405"/>
      <c r="N67" s="405"/>
      <c r="O67" s="405"/>
      <c r="P67" s="405"/>
      <c r="Q67" s="405"/>
      <c r="R67" s="405"/>
      <c r="S67" s="405"/>
      <c r="T67" s="405"/>
      <c r="U67" s="405"/>
      <c r="V67" s="405"/>
      <c r="W67" s="405"/>
      <c r="X67" s="405"/>
      <c r="Y67" s="405"/>
      <c r="Z67" s="405"/>
      <c r="AA67" s="405"/>
      <c r="AB67" s="405"/>
      <c r="AC67" s="405"/>
      <c r="AD67" s="405"/>
      <c r="AE67" s="405"/>
      <c r="AF67" s="405"/>
      <c r="AG67" s="405"/>
    </row>
    <row r="68" spans="1:33" x14ac:dyDescent="0.25">
      <c r="A68" s="438"/>
      <c r="B68" s="577"/>
      <c r="C68" s="575"/>
      <c r="D68" s="575"/>
      <c r="E68" s="575"/>
      <c r="F68" s="575"/>
      <c r="G68" s="578" t="s">
        <v>175</v>
      </c>
      <c r="H68" s="440">
        <f>IF('PC 17 Monitoring and Other Cost'!H21="",'PC 17 Monitoring and Other Cost'!G21,'PC 17 Monitoring and Other Cost'!H21)</f>
        <v>0.125</v>
      </c>
      <c r="I68" s="436">
        <f>'PC 17 Monitoring and Other Cost'!I21</f>
        <v>0</v>
      </c>
      <c r="J68" s="565"/>
      <c r="K68" s="437" t="str">
        <f t="shared" si="1"/>
        <v/>
      </c>
      <c r="L68" s="405"/>
      <c r="M68" s="405"/>
      <c r="N68" s="405"/>
      <c r="O68" s="405"/>
      <c r="P68" s="405"/>
      <c r="Q68" s="405"/>
      <c r="R68" s="405"/>
      <c r="S68" s="405"/>
      <c r="T68" s="405"/>
      <c r="U68" s="405"/>
      <c r="V68" s="405"/>
      <c r="W68" s="405"/>
      <c r="X68" s="405"/>
      <c r="Y68" s="405"/>
      <c r="Z68" s="405"/>
      <c r="AA68" s="405"/>
      <c r="AB68" s="405"/>
      <c r="AC68" s="405"/>
      <c r="AD68" s="405"/>
      <c r="AE68" s="405"/>
      <c r="AF68" s="405"/>
      <c r="AG68" s="405"/>
    </row>
    <row r="69" spans="1:33" x14ac:dyDescent="0.25">
      <c r="A69" s="438"/>
      <c r="B69" s="577"/>
      <c r="C69" s="575"/>
      <c r="D69" s="575"/>
      <c r="E69" s="575"/>
      <c r="F69" s="575"/>
      <c r="G69" s="578" t="s">
        <v>176</v>
      </c>
      <c r="H69" s="440">
        <f>'PC 17 Monitoring and Other Cost'!G22</f>
        <v>0.01</v>
      </c>
      <c r="I69" s="436">
        <f>'PC 17 Monitoring and Other Cost'!I22</f>
        <v>0</v>
      </c>
      <c r="J69" s="565"/>
      <c r="K69" s="437" t="str">
        <f t="shared" si="1"/>
        <v/>
      </c>
      <c r="L69" s="405"/>
      <c r="M69" s="405"/>
      <c r="N69" s="405"/>
      <c r="O69" s="405"/>
      <c r="P69" s="405"/>
      <c r="Q69" s="405"/>
      <c r="R69" s="405"/>
      <c r="S69" s="405"/>
      <c r="T69" s="405"/>
      <c r="U69" s="405"/>
      <c r="V69" s="405"/>
      <c r="W69" s="405"/>
      <c r="X69" s="405"/>
      <c r="Y69" s="405"/>
      <c r="Z69" s="405"/>
      <c r="AA69" s="405"/>
      <c r="AB69" s="405"/>
      <c r="AC69" s="405"/>
      <c r="AD69" s="405"/>
      <c r="AE69" s="405"/>
      <c r="AF69" s="405"/>
      <c r="AG69" s="405"/>
    </row>
    <row r="70" spans="1:33" ht="15.75" x14ac:dyDescent="0.25">
      <c r="A70" s="438"/>
      <c r="B70" s="577"/>
      <c r="C70" s="575"/>
      <c r="D70" s="575"/>
      <c r="E70" s="575"/>
      <c r="F70" s="575"/>
      <c r="G70" s="578" t="s">
        <v>177</v>
      </c>
      <c r="H70" s="440">
        <f>IF('PC 17 Monitoring and Other Cost'!H23="",'PC 17 Monitoring and Other Cost'!G23,'PC 17 Monitoring and Other Cost'!H23)</f>
        <v>0.2</v>
      </c>
      <c r="I70" s="436">
        <f>'PC 17 Monitoring and Other Cost'!I23</f>
        <v>0</v>
      </c>
      <c r="J70" s="564"/>
      <c r="K70" s="437" t="str">
        <f t="shared" si="1"/>
        <v/>
      </c>
      <c r="L70" s="405"/>
      <c r="M70" s="405"/>
      <c r="N70" s="405"/>
      <c r="O70" s="405"/>
      <c r="P70" s="405"/>
      <c r="Q70" s="405"/>
      <c r="R70" s="405"/>
      <c r="S70" s="405"/>
      <c r="T70" s="405"/>
      <c r="U70" s="405"/>
      <c r="V70" s="405"/>
      <c r="W70" s="405"/>
      <c r="X70" s="405"/>
      <c r="Y70" s="405"/>
      <c r="Z70" s="405"/>
      <c r="AA70" s="405"/>
      <c r="AB70" s="405"/>
      <c r="AC70" s="405"/>
      <c r="AD70" s="405"/>
      <c r="AE70" s="405"/>
      <c r="AF70" s="405"/>
      <c r="AG70" s="405"/>
    </row>
    <row r="71" spans="1:33" ht="15.75" x14ac:dyDescent="0.25">
      <c r="A71" s="596"/>
      <c r="B71" s="597" t="s">
        <v>899</v>
      </c>
      <c r="C71" s="598"/>
      <c r="D71" s="598"/>
      <c r="E71" s="598"/>
      <c r="F71" s="598"/>
      <c r="G71" s="599"/>
      <c r="H71" s="600"/>
      <c r="I71" s="600"/>
      <c r="J71" s="601">
        <f>SUM(I65:I70)</f>
        <v>0</v>
      </c>
      <c r="K71" s="751" t="str">
        <f t="shared" si="1"/>
        <v/>
      </c>
      <c r="L71" s="405"/>
      <c r="M71" s="405"/>
      <c r="N71" s="405"/>
      <c r="O71" s="405"/>
      <c r="P71" s="405"/>
      <c r="Q71" s="405"/>
      <c r="R71" s="405"/>
      <c r="S71" s="405"/>
      <c r="T71" s="405"/>
      <c r="U71" s="405"/>
      <c r="V71" s="405"/>
      <c r="W71" s="405"/>
      <c r="X71" s="405"/>
      <c r="Y71" s="405"/>
      <c r="Z71" s="405"/>
      <c r="AA71" s="405"/>
      <c r="AB71" s="405"/>
      <c r="AC71" s="405"/>
      <c r="AD71" s="405"/>
      <c r="AE71" s="405"/>
      <c r="AF71" s="405"/>
      <c r="AG71" s="405"/>
    </row>
    <row r="72" spans="1:33" x14ac:dyDescent="0.25">
      <c r="A72" s="441"/>
      <c r="B72" s="580"/>
      <c r="C72" s="581"/>
      <c r="D72" s="581"/>
      <c r="E72" s="581"/>
      <c r="F72" s="581"/>
      <c r="G72" s="582"/>
      <c r="H72" s="442"/>
      <c r="I72" s="443"/>
      <c r="J72" s="566"/>
      <c r="K72" s="444" t="str">
        <f>IF(J72&lt;1,"",J72/J$73)</f>
        <v/>
      </c>
      <c r="L72" s="405"/>
      <c r="M72" s="405"/>
      <c r="N72" s="405"/>
      <c r="O72" s="405"/>
      <c r="P72" s="405"/>
      <c r="Q72" s="405"/>
      <c r="R72" s="405"/>
      <c r="S72" s="405"/>
      <c r="T72" s="405"/>
      <c r="U72" s="405"/>
      <c r="V72" s="405"/>
      <c r="W72" s="405"/>
      <c r="X72" s="405"/>
      <c r="Y72" s="405"/>
      <c r="Z72" s="405"/>
      <c r="AA72" s="405"/>
      <c r="AB72" s="405"/>
      <c r="AC72" s="405"/>
      <c r="AD72" s="405"/>
      <c r="AE72" s="405"/>
      <c r="AF72" s="405"/>
      <c r="AG72" s="405"/>
    </row>
    <row r="73" spans="1:33" ht="18.75" x14ac:dyDescent="0.3">
      <c r="A73" s="445"/>
      <c r="B73" s="583" t="s">
        <v>222</v>
      </c>
      <c r="C73" s="584"/>
      <c r="D73" s="584"/>
      <c r="E73" s="584"/>
      <c r="F73" s="584"/>
      <c r="G73" s="585"/>
      <c r="H73" s="431"/>
      <c r="I73" s="431"/>
      <c r="J73" s="567">
        <f>J63+J71</f>
        <v>0</v>
      </c>
      <c r="K73" s="433" t="str">
        <f>IF(J73&lt;1,"",J73/J$73)</f>
        <v/>
      </c>
      <c r="L73" s="405"/>
      <c r="M73" s="405"/>
      <c r="N73" s="405"/>
      <c r="O73" s="405"/>
      <c r="P73" s="405"/>
      <c r="Q73" s="405"/>
      <c r="R73" s="405"/>
      <c r="S73" s="405"/>
      <c r="T73" s="405"/>
      <c r="U73" s="405"/>
      <c r="V73" s="405"/>
      <c r="W73" s="405"/>
      <c r="X73" s="405"/>
      <c r="Y73" s="405"/>
      <c r="Z73" s="405"/>
      <c r="AA73" s="405"/>
      <c r="AB73" s="405"/>
      <c r="AC73" s="405"/>
      <c r="AD73" s="405"/>
      <c r="AE73" s="405"/>
      <c r="AF73" s="405"/>
      <c r="AG73" s="405"/>
    </row>
    <row r="74" spans="1:33" x14ac:dyDescent="0.25">
      <c r="A74" s="438"/>
      <c r="B74" s="577"/>
      <c r="C74" s="575"/>
      <c r="D74" s="575"/>
      <c r="E74" s="575"/>
      <c r="F74" s="575"/>
      <c r="G74" s="576"/>
      <c r="H74" s="435"/>
      <c r="I74" s="435"/>
      <c r="J74" s="565"/>
      <c r="K74" s="446"/>
      <c r="L74" s="405"/>
      <c r="M74" s="405"/>
      <c r="N74" s="405"/>
      <c r="O74" s="405"/>
      <c r="P74" s="405"/>
      <c r="Q74" s="405"/>
      <c r="R74" s="405"/>
      <c r="S74" s="405"/>
      <c r="T74" s="405"/>
      <c r="U74" s="405"/>
      <c r="V74" s="405"/>
      <c r="W74" s="405"/>
      <c r="X74" s="405"/>
      <c r="Y74" s="405"/>
      <c r="Z74" s="405"/>
      <c r="AA74" s="405"/>
      <c r="AB74" s="405"/>
      <c r="AC74" s="405"/>
      <c r="AD74" s="405"/>
      <c r="AE74" s="405"/>
      <c r="AF74" s="405"/>
      <c r="AG74" s="405"/>
    </row>
    <row r="75" spans="1:33" ht="18.75" x14ac:dyDescent="0.3">
      <c r="A75" s="438"/>
      <c r="B75" s="586" t="s">
        <v>223</v>
      </c>
      <c r="C75" s="575"/>
      <c r="D75" s="575"/>
      <c r="E75" s="575"/>
      <c r="F75" s="575"/>
      <c r="G75" s="576"/>
      <c r="H75" s="435"/>
      <c r="I75" s="435"/>
      <c r="J75" s="568">
        <f>IF( J73&lt;51000,ROUND(J73,-3),ROUND(J73,-4))</f>
        <v>0</v>
      </c>
      <c r="K75" s="446"/>
      <c r="L75" s="405"/>
      <c r="M75" s="405"/>
      <c r="N75" s="405"/>
      <c r="O75" s="405"/>
      <c r="P75" s="405"/>
      <c r="Q75" s="405"/>
      <c r="R75" s="405"/>
      <c r="S75" s="405"/>
      <c r="T75" s="405"/>
      <c r="U75" s="405"/>
      <c r="V75" s="405"/>
      <c r="W75" s="405"/>
      <c r="X75" s="405"/>
      <c r="Y75" s="405"/>
      <c r="Z75" s="405"/>
      <c r="AA75" s="405"/>
      <c r="AB75" s="405"/>
      <c r="AC75" s="405"/>
      <c r="AD75" s="405"/>
      <c r="AE75" s="405"/>
      <c r="AF75" s="405"/>
      <c r="AG75" s="405"/>
    </row>
    <row r="76" spans="1:33" x14ac:dyDescent="0.25">
      <c r="A76" s="441"/>
      <c r="B76" s="580"/>
      <c r="C76" s="581"/>
      <c r="D76" s="581"/>
      <c r="E76" s="581"/>
      <c r="F76" s="581"/>
      <c r="G76" s="582"/>
      <c r="H76" s="442"/>
      <c r="I76" s="442"/>
      <c r="J76" s="566"/>
      <c r="K76" s="447"/>
      <c r="L76" s="405"/>
      <c r="M76" s="405"/>
      <c r="N76" s="405"/>
      <c r="O76" s="405"/>
      <c r="P76" s="405"/>
      <c r="Q76" s="405"/>
      <c r="R76" s="405"/>
      <c r="S76" s="405"/>
      <c r="T76" s="405"/>
      <c r="U76" s="405"/>
      <c r="V76" s="405"/>
      <c r="W76" s="405"/>
      <c r="X76" s="405"/>
      <c r="Y76" s="405"/>
      <c r="Z76" s="405"/>
      <c r="AA76" s="405"/>
      <c r="AB76" s="405"/>
      <c r="AC76" s="405"/>
      <c r="AD76" s="405"/>
      <c r="AE76" s="405"/>
      <c r="AF76" s="405"/>
      <c r="AG76" s="405"/>
    </row>
    <row r="77" spans="1:33" x14ac:dyDescent="0.25">
      <c r="A77" s="405"/>
      <c r="B77" s="405"/>
      <c r="C77" s="405"/>
      <c r="D77" s="405"/>
      <c r="E77" s="405"/>
      <c r="F77" s="405"/>
      <c r="G77" s="405"/>
      <c r="H77" s="405"/>
      <c r="I77" s="405"/>
      <c r="J77" s="405"/>
      <c r="K77" s="405"/>
      <c r="L77" s="405"/>
      <c r="M77" s="405"/>
      <c r="N77" s="405"/>
      <c r="O77" s="405"/>
      <c r="P77" s="405"/>
      <c r="Q77" s="405"/>
      <c r="R77" s="405"/>
      <c r="S77" s="405"/>
      <c r="T77" s="405"/>
      <c r="U77" s="405"/>
      <c r="V77" s="405"/>
      <c r="W77" s="405"/>
      <c r="X77" s="405"/>
      <c r="Y77" s="405"/>
      <c r="Z77" s="405"/>
      <c r="AA77" s="405"/>
      <c r="AB77" s="405"/>
      <c r="AC77" s="405"/>
      <c r="AD77" s="405"/>
      <c r="AE77" s="405"/>
      <c r="AF77" s="405"/>
      <c r="AG77" s="405"/>
    </row>
    <row r="78" spans="1:33" x14ac:dyDescent="0.25">
      <c r="A78" s="405"/>
      <c r="B78" s="405"/>
      <c r="C78" s="405"/>
      <c r="D78" s="405"/>
      <c r="E78" s="405"/>
      <c r="F78" s="405"/>
      <c r="G78" s="405"/>
      <c r="H78" s="405"/>
      <c r="I78" s="405"/>
      <c r="J78" s="405"/>
      <c r="K78" s="405"/>
      <c r="L78" s="405"/>
      <c r="M78" s="405"/>
      <c r="N78" s="405"/>
      <c r="O78" s="405"/>
      <c r="P78" s="405"/>
      <c r="Q78" s="405"/>
      <c r="R78" s="405"/>
      <c r="S78" s="405"/>
      <c r="T78" s="405"/>
      <c r="U78" s="405"/>
      <c r="V78" s="405"/>
      <c r="W78" s="405"/>
      <c r="X78" s="405"/>
      <c r="Y78" s="405"/>
      <c r="Z78" s="405"/>
      <c r="AA78" s="405"/>
      <c r="AB78" s="405"/>
      <c r="AC78" s="405"/>
      <c r="AD78" s="405"/>
      <c r="AE78" s="405"/>
      <c r="AF78" s="405"/>
      <c r="AG78" s="405"/>
    </row>
    <row r="79" spans="1:33" x14ac:dyDescent="0.25">
      <c r="A79" s="405"/>
      <c r="B79" s="405"/>
      <c r="C79" s="405"/>
      <c r="D79" s="405"/>
      <c r="E79" s="405"/>
      <c r="F79" s="405"/>
      <c r="G79" s="405"/>
      <c r="H79" s="405"/>
      <c r="I79" s="405"/>
      <c r="J79" s="405"/>
      <c r="K79" s="405"/>
      <c r="L79" s="405"/>
      <c r="M79" s="405"/>
      <c r="N79" s="405"/>
      <c r="O79" s="405"/>
      <c r="P79" s="405"/>
      <c r="Q79" s="405"/>
      <c r="R79" s="405"/>
      <c r="S79" s="405"/>
      <c r="T79" s="405"/>
      <c r="U79" s="405"/>
      <c r="V79" s="405"/>
      <c r="W79" s="405"/>
      <c r="X79" s="405"/>
      <c r="Y79" s="405"/>
      <c r="Z79" s="405"/>
      <c r="AA79" s="405"/>
      <c r="AB79" s="405"/>
      <c r="AC79" s="405"/>
      <c r="AD79" s="405"/>
      <c r="AE79" s="405"/>
      <c r="AF79" s="405"/>
      <c r="AG79" s="405"/>
    </row>
    <row r="80" spans="1:33" x14ac:dyDescent="0.25">
      <c r="A80" s="405"/>
      <c r="B80" s="405"/>
      <c r="C80" s="405"/>
      <c r="D80" s="405"/>
      <c r="E80" s="405"/>
      <c r="F80" s="405"/>
      <c r="G80" s="405"/>
      <c r="H80" s="405"/>
      <c r="I80" s="405"/>
      <c r="J80" s="405"/>
      <c r="K80" s="405"/>
      <c r="L80" s="405"/>
      <c r="M80" s="405"/>
      <c r="N80" s="405"/>
      <c r="O80" s="405"/>
      <c r="P80" s="405"/>
      <c r="Q80" s="405"/>
      <c r="R80" s="405"/>
      <c r="S80" s="405"/>
      <c r="T80" s="405"/>
      <c r="U80" s="405"/>
      <c r="V80" s="405"/>
      <c r="W80" s="405"/>
      <c r="X80" s="405"/>
      <c r="Y80" s="405"/>
      <c r="Z80" s="405"/>
      <c r="AA80" s="405"/>
      <c r="AB80" s="405"/>
      <c r="AC80" s="405"/>
      <c r="AD80" s="405"/>
      <c r="AE80" s="405"/>
      <c r="AF80" s="405"/>
      <c r="AG80" s="405"/>
    </row>
    <row r="81" spans="1:33" x14ac:dyDescent="0.25">
      <c r="A81" s="405"/>
      <c r="B81" s="405"/>
      <c r="C81" s="405"/>
      <c r="D81" s="405"/>
      <c r="E81" s="405"/>
      <c r="F81" s="405"/>
      <c r="G81" s="405"/>
      <c r="H81" s="405"/>
      <c r="I81" s="405"/>
      <c r="J81" s="405"/>
      <c r="K81" s="405"/>
      <c r="L81" s="405"/>
      <c r="M81" s="405"/>
      <c r="N81" s="405"/>
      <c r="O81" s="405"/>
      <c r="P81" s="405"/>
      <c r="Q81" s="405"/>
      <c r="R81" s="405"/>
      <c r="S81" s="405"/>
      <c r="T81" s="405"/>
      <c r="U81" s="405"/>
      <c r="V81" s="405"/>
      <c r="W81" s="405"/>
      <c r="X81" s="405"/>
      <c r="Y81" s="405"/>
      <c r="Z81" s="405"/>
      <c r="AA81" s="405"/>
      <c r="AB81" s="405"/>
      <c r="AC81" s="405"/>
      <c r="AD81" s="405"/>
      <c r="AE81" s="405"/>
      <c r="AF81" s="405"/>
      <c r="AG81" s="405"/>
    </row>
    <row r="82" spans="1:33" x14ac:dyDescent="0.25">
      <c r="A82" s="405"/>
      <c r="B82" s="405"/>
      <c r="C82" s="405"/>
      <c r="D82" s="405"/>
      <c r="E82" s="405"/>
      <c r="F82" s="405"/>
      <c r="G82" s="405"/>
      <c r="H82" s="405"/>
      <c r="I82" s="405"/>
      <c r="J82" s="405"/>
      <c r="K82" s="405"/>
      <c r="L82" s="405"/>
      <c r="M82" s="405"/>
      <c r="N82" s="405"/>
      <c r="O82" s="405"/>
      <c r="P82" s="405"/>
      <c r="Q82" s="405"/>
      <c r="R82" s="405"/>
      <c r="S82" s="405"/>
      <c r="T82" s="405"/>
      <c r="U82" s="405"/>
      <c r="V82" s="405"/>
      <c r="W82" s="405"/>
      <c r="X82" s="405"/>
      <c r="Y82" s="405"/>
      <c r="Z82" s="405"/>
      <c r="AA82" s="405"/>
      <c r="AB82" s="405"/>
      <c r="AC82" s="405"/>
      <c r="AD82" s="405"/>
      <c r="AE82" s="405"/>
      <c r="AF82" s="405"/>
      <c r="AG82" s="405"/>
    </row>
    <row r="83" spans="1:33" x14ac:dyDescent="0.25">
      <c r="A83" s="405"/>
      <c r="B83" s="405"/>
      <c r="C83" s="405"/>
      <c r="D83" s="405"/>
      <c r="E83" s="405"/>
      <c r="F83" s="405"/>
      <c r="G83" s="405"/>
      <c r="H83" s="405"/>
      <c r="I83" s="405"/>
      <c r="J83" s="405"/>
      <c r="K83" s="405"/>
      <c r="L83" s="405"/>
      <c r="M83" s="405"/>
      <c r="N83" s="405"/>
      <c r="O83" s="405"/>
      <c r="P83" s="405"/>
      <c r="Q83" s="405"/>
      <c r="R83" s="405"/>
      <c r="S83" s="405"/>
      <c r="T83" s="405"/>
      <c r="U83" s="405"/>
      <c r="V83" s="405"/>
      <c r="W83" s="405"/>
      <c r="X83" s="405"/>
      <c r="Y83" s="405"/>
      <c r="Z83" s="405"/>
      <c r="AA83" s="405"/>
      <c r="AB83" s="405"/>
      <c r="AC83" s="405"/>
      <c r="AD83" s="405"/>
      <c r="AE83" s="405"/>
      <c r="AF83" s="405"/>
      <c r="AG83" s="405"/>
    </row>
    <row r="84" spans="1:33" x14ac:dyDescent="0.25">
      <c r="A84" s="405"/>
      <c r="B84" s="405"/>
      <c r="C84" s="405"/>
      <c r="D84" s="405"/>
      <c r="E84" s="405"/>
      <c r="F84" s="405"/>
      <c r="G84" s="405"/>
      <c r="H84" s="405"/>
      <c r="I84" s="405"/>
      <c r="J84" s="405"/>
      <c r="K84" s="405"/>
      <c r="L84" s="405"/>
      <c r="M84" s="405"/>
      <c r="N84" s="405"/>
      <c r="O84" s="405"/>
      <c r="P84" s="405"/>
      <c r="Q84" s="405"/>
      <c r="R84" s="405"/>
      <c r="S84" s="405"/>
      <c r="T84" s="405"/>
      <c r="U84" s="405"/>
      <c r="V84" s="405"/>
      <c r="W84" s="405"/>
      <c r="X84" s="405"/>
      <c r="Y84" s="405"/>
      <c r="Z84" s="405"/>
      <c r="AA84" s="405"/>
      <c r="AB84" s="405"/>
      <c r="AC84" s="405"/>
      <c r="AD84" s="405"/>
      <c r="AE84" s="405"/>
      <c r="AF84" s="405"/>
      <c r="AG84" s="405"/>
    </row>
    <row r="85" spans="1:33" x14ac:dyDescent="0.25">
      <c r="A85" s="405"/>
      <c r="B85" s="405"/>
      <c r="C85" s="405"/>
      <c r="D85" s="405"/>
      <c r="E85" s="405"/>
      <c r="F85" s="405"/>
      <c r="G85" s="405"/>
      <c r="H85" s="405"/>
      <c r="I85" s="405"/>
      <c r="J85" s="405"/>
      <c r="K85" s="405"/>
      <c r="L85" s="405"/>
      <c r="M85" s="405"/>
      <c r="N85" s="405"/>
      <c r="O85" s="405"/>
      <c r="P85" s="405"/>
      <c r="Q85" s="405"/>
      <c r="R85" s="405"/>
      <c r="S85" s="405"/>
      <c r="T85" s="405"/>
      <c r="U85" s="405"/>
      <c r="V85" s="405"/>
      <c r="W85" s="405"/>
      <c r="X85" s="405"/>
      <c r="Y85" s="405"/>
      <c r="Z85" s="405"/>
      <c r="AA85" s="405"/>
      <c r="AB85" s="405"/>
      <c r="AC85" s="405"/>
      <c r="AD85" s="405"/>
      <c r="AE85" s="405"/>
      <c r="AF85" s="405"/>
      <c r="AG85" s="405"/>
    </row>
    <row r="86" spans="1:33" x14ac:dyDescent="0.25">
      <c r="A86" s="405"/>
      <c r="B86" s="405"/>
      <c r="C86" s="405"/>
      <c r="D86" s="405"/>
      <c r="E86" s="405"/>
      <c r="F86" s="405"/>
      <c r="G86" s="405"/>
      <c r="H86" s="405"/>
      <c r="I86" s="405"/>
      <c r="J86" s="405"/>
      <c r="K86" s="405"/>
      <c r="L86" s="405"/>
      <c r="M86" s="405"/>
      <c r="N86" s="405"/>
      <c r="O86" s="405"/>
      <c r="P86" s="405"/>
      <c r="Q86" s="405"/>
      <c r="R86" s="405"/>
      <c r="S86" s="405"/>
      <c r="T86" s="405"/>
      <c r="U86" s="405"/>
      <c r="V86" s="405"/>
      <c r="W86" s="405"/>
      <c r="X86" s="405"/>
      <c r="Y86" s="405"/>
      <c r="Z86" s="405"/>
      <c r="AA86" s="405"/>
      <c r="AB86" s="405"/>
      <c r="AC86" s="405"/>
      <c r="AD86" s="405"/>
      <c r="AE86" s="405"/>
      <c r="AF86" s="405"/>
      <c r="AG86" s="405"/>
    </row>
    <row r="87" spans="1:33" x14ac:dyDescent="0.25">
      <c r="A87" s="405"/>
      <c r="B87" s="405"/>
      <c r="C87" s="405"/>
      <c r="D87" s="405"/>
      <c r="E87" s="405"/>
      <c r="F87" s="405"/>
      <c r="G87" s="405"/>
      <c r="H87" s="405"/>
      <c r="I87" s="405"/>
      <c r="J87" s="405"/>
      <c r="K87" s="405"/>
      <c r="L87" s="405"/>
      <c r="M87" s="405"/>
      <c r="N87" s="405"/>
      <c r="O87" s="405"/>
      <c r="P87" s="405"/>
      <c r="Q87" s="405"/>
      <c r="R87" s="405"/>
      <c r="S87" s="405"/>
      <c r="T87" s="405"/>
      <c r="U87" s="405"/>
      <c r="V87" s="405"/>
      <c r="W87" s="405"/>
      <c r="X87" s="405"/>
      <c r="Y87" s="405"/>
      <c r="Z87" s="405"/>
      <c r="AA87" s="405"/>
      <c r="AB87" s="405"/>
      <c r="AC87" s="405"/>
      <c r="AD87" s="405"/>
      <c r="AE87" s="405"/>
      <c r="AF87" s="405"/>
      <c r="AG87" s="405"/>
    </row>
    <row r="88" spans="1:33" x14ac:dyDescent="0.25">
      <c r="A88" s="405"/>
      <c r="B88" s="405"/>
      <c r="C88" s="405"/>
      <c r="D88" s="405"/>
      <c r="E88" s="405"/>
      <c r="F88" s="405"/>
      <c r="G88" s="405"/>
      <c r="H88" s="405"/>
      <c r="I88" s="405"/>
      <c r="J88" s="405"/>
      <c r="K88" s="405"/>
      <c r="L88" s="405"/>
      <c r="M88" s="405"/>
      <c r="N88" s="405"/>
      <c r="O88" s="405"/>
      <c r="P88" s="405"/>
      <c r="Q88" s="405"/>
      <c r="R88" s="405"/>
      <c r="S88" s="405"/>
      <c r="T88" s="405"/>
      <c r="U88" s="405"/>
      <c r="V88" s="405"/>
      <c r="W88" s="405"/>
      <c r="X88" s="405"/>
      <c r="Y88" s="405"/>
      <c r="Z88" s="405"/>
      <c r="AA88" s="405"/>
      <c r="AB88" s="405"/>
      <c r="AC88" s="405"/>
      <c r="AD88" s="405"/>
      <c r="AE88" s="405"/>
      <c r="AF88" s="405"/>
      <c r="AG88" s="405"/>
    </row>
    <row r="89" spans="1:33" x14ac:dyDescent="0.25">
      <c r="A89" s="405"/>
      <c r="B89" s="405"/>
      <c r="C89" s="405"/>
      <c r="D89" s="405"/>
      <c r="E89" s="405"/>
      <c r="F89" s="405"/>
      <c r="G89" s="405"/>
      <c r="H89" s="405"/>
      <c r="I89" s="405"/>
      <c r="J89" s="405"/>
      <c r="K89" s="405"/>
      <c r="L89" s="405"/>
      <c r="M89" s="405"/>
      <c r="N89" s="405"/>
      <c r="O89" s="405"/>
      <c r="P89" s="405"/>
      <c r="Q89" s="405"/>
      <c r="R89" s="405"/>
      <c r="S89" s="405"/>
      <c r="T89" s="405"/>
      <c r="U89" s="405"/>
      <c r="V89" s="405"/>
      <c r="W89" s="405"/>
      <c r="X89" s="405"/>
      <c r="Y89" s="405"/>
      <c r="Z89" s="405"/>
      <c r="AA89" s="405"/>
      <c r="AB89" s="405"/>
      <c r="AC89" s="405"/>
      <c r="AD89" s="405"/>
      <c r="AE89" s="405"/>
      <c r="AF89" s="405"/>
      <c r="AG89" s="405"/>
    </row>
    <row r="90" spans="1:33" x14ac:dyDescent="0.25">
      <c r="A90" s="405"/>
      <c r="B90" s="405"/>
      <c r="C90" s="405"/>
      <c r="D90" s="405"/>
      <c r="E90" s="405"/>
      <c r="F90" s="405"/>
      <c r="G90" s="405"/>
      <c r="H90" s="405"/>
      <c r="I90" s="405"/>
      <c r="J90" s="405"/>
      <c r="K90" s="405"/>
      <c r="L90" s="405"/>
      <c r="M90" s="405"/>
      <c r="N90" s="405"/>
      <c r="O90" s="405"/>
      <c r="P90" s="405"/>
      <c r="Q90" s="405"/>
      <c r="R90" s="405"/>
      <c r="S90" s="405"/>
      <c r="T90" s="405"/>
      <c r="U90" s="405"/>
      <c r="V90" s="405"/>
      <c r="W90" s="405"/>
      <c r="X90" s="405"/>
      <c r="Y90" s="405"/>
      <c r="Z90" s="405"/>
      <c r="AA90" s="405"/>
      <c r="AB90" s="405"/>
      <c r="AC90" s="405"/>
      <c r="AD90" s="405"/>
      <c r="AE90" s="405"/>
      <c r="AF90" s="405"/>
      <c r="AG90" s="405"/>
    </row>
    <row r="91" spans="1:33" x14ac:dyDescent="0.25">
      <c r="A91" s="405"/>
      <c r="B91" s="405"/>
      <c r="C91" s="405"/>
      <c r="D91" s="405"/>
      <c r="E91" s="405"/>
      <c r="F91" s="405"/>
      <c r="G91" s="405"/>
      <c r="H91" s="405"/>
      <c r="I91" s="405"/>
      <c r="J91" s="405"/>
      <c r="K91" s="405"/>
      <c r="L91" s="405"/>
      <c r="M91" s="405"/>
      <c r="N91" s="405"/>
      <c r="O91" s="405"/>
      <c r="P91" s="405"/>
      <c r="Q91" s="405"/>
      <c r="R91" s="405"/>
      <c r="S91" s="405"/>
      <c r="T91" s="405"/>
      <c r="U91" s="405"/>
      <c r="V91" s="405"/>
      <c r="W91" s="405"/>
      <c r="X91" s="405"/>
      <c r="Y91" s="405"/>
      <c r="Z91" s="405"/>
      <c r="AA91" s="405"/>
      <c r="AB91" s="405"/>
      <c r="AC91" s="405"/>
      <c r="AD91" s="405"/>
      <c r="AE91" s="405"/>
      <c r="AF91" s="405"/>
      <c r="AG91" s="405"/>
    </row>
    <row r="92" spans="1:33" x14ac:dyDescent="0.25">
      <c r="A92" s="405"/>
      <c r="B92" s="405"/>
      <c r="C92" s="405"/>
      <c r="D92" s="405"/>
      <c r="E92" s="405"/>
      <c r="F92" s="405"/>
      <c r="G92" s="405"/>
      <c r="H92" s="405"/>
      <c r="I92" s="405"/>
      <c r="J92" s="405"/>
      <c r="K92" s="405"/>
      <c r="L92" s="405"/>
      <c r="M92" s="405"/>
      <c r="N92" s="405"/>
      <c r="O92" s="405"/>
      <c r="P92" s="405"/>
      <c r="Q92" s="405"/>
      <c r="R92" s="405"/>
      <c r="S92" s="405"/>
      <c r="T92" s="405"/>
      <c r="U92" s="405"/>
      <c r="V92" s="405"/>
      <c r="W92" s="405"/>
      <c r="X92" s="405"/>
      <c r="Y92" s="405"/>
      <c r="Z92" s="405"/>
      <c r="AA92" s="405"/>
      <c r="AB92" s="405"/>
      <c r="AC92" s="405"/>
      <c r="AD92" s="405"/>
      <c r="AE92" s="405"/>
      <c r="AF92" s="405"/>
      <c r="AG92" s="405"/>
    </row>
    <row r="93" spans="1:33" x14ac:dyDescent="0.25">
      <c r="A93" s="405"/>
      <c r="B93" s="405"/>
      <c r="C93" s="405"/>
      <c r="D93" s="405"/>
      <c r="E93" s="405"/>
      <c r="F93" s="405"/>
      <c r="G93" s="405"/>
      <c r="H93" s="405"/>
      <c r="I93" s="405"/>
      <c r="J93" s="405"/>
      <c r="K93" s="405"/>
      <c r="L93" s="405"/>
      <c r="M93" s="405"/>
      <c r="N93" s="405"/>
      <c r="O93" s="405"/>
      <c r="P93" s="405"/>
      <c r="Q93" s="405"/>
      <c r="R93" s="405"/>
      <c r="S93" s="405"/>
      <c r="T93" s="405"/>
      <c r="U93" s="405"/>
      <c r="V93" s="405"/>
      <c r="W93" s="405"/>
      <c r="X93" s="405"/>
      <c r="Y93" s="405"/>
      <c r="Z93" s="405"/>
      <c r="AA93" s="405"/>
      <c r="AB93" s="405"/>
      <c r="AC93" s="405"/>
      <c r="AD93" s="405"/>
      <c r="AE93" s="405"/>
      <c r="AF93" s="405"/>
      <c r="AG93" s="405"/>
    </row>
  </sheetData>
  <sheetProtection algorithmName="SHA-512" hashValue="qV2neBRt/78XVq4F88SyCE2gssdOwrkXw79qL6xJLaj/SBIM4L4EchIWInT7HNFX06DoMuBV1JmrE54STyJ+Lw==" saltValue="VH90Lmoj53EdbdqS2NIEgw==" spinCount="100000" sheet="1" objects="1" scenarios="1" formatRows="0" selectLockedCells="1"/>
  <mergeCells count="20">
    <mergeCell ref="H2:K3"/>
    <mergeCell ref="E35:H35"/>
    <mergeCell ref="J33:K33"/>
    <mergeCell ref="B38:G38"/>
    <mergeCell ref="E22:F22"/>
    <mergeCell ref="E33:H33"/>
    <mergeCell ref="E24:F24"/>
    <mergeCell ref="E27:H27"/>
    <mergeCell ref="E29:H29"/>
    <mergeCell ref="E30:H30"/>
    <mergeCell ref="E31:H31"/>
    <mergeCell ref="A8:B8"/>
    <mergeCell ref="A7:B7"/>
    <mergeCell ref="J28:K31"/>
    <mergeCell ref="C7:D7"/>
    <mergeCell ref="C8:D8"/>
    <mergeCell ref="E13:K13"/>
    <mergeCell ref="E15:K15"/>
    <mergeCell ref="E17:K17"/>
    <mergeCell ref="E19:K19"/>
  </mergeCells>
  <pageMargins left="0.70866141732283472" right="0.31496062992125984" top="0.35433070866141736" bottom="0.74803149606299213" header="0.31496062992125984" footer="0.31496062992125984"/>
  <pageSetup paperSize="9" scale="63" orientation="portrait" r:id="rId1"/>
  <headerFooter>
    <oddHeader>&amp;C&amp;"Arial"&amp;12&amp;KA80000 OFFICIAL&amp;1#_x000D_</oddHeader>
    <oddFooter>&amp;L&amp;Z
&amp;F&amp;C&amp;A&amp;R&amp;D</odd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742AC-F22B-4923-B12B-80E88487B7AC}">
  <sheetPr>
    <pageSetUpPr fitToPage="1"/>
  </sheetPr>
  <dimension ref="A1:AF127"/>
  <sheetViews>
    <sheetView zoomScale="90" zoomScaleNormal="90" workbookViewId="0">
      <selection activeCell="G8" sqref="G8:M19"/>
    </sheetView>
  </sheetViews>
  <sheetFormatPr defaultColWidth="9.140625" defaultRowHeight="15" x14ac:dyDescent="0.25"/>
  <cols>
    <col min="1" max="1" width="18.28515625" customWidth="1"/>
    <col min="2" max="2" width="11.5703125" customWidth="1"/>
    <col min="3" max="3" width="41.7109375" customWidth="1"/>
    <col min="4" max="4" width="13.5703125" customWidth="1"/>
    <col min="5" max="5" width="11" customWidth="1"/>
    <col min="6" max="6" width="9.140625" style="126"/>
    <col min="7" max="7" width="21.5703125" customWidth="1"/>
    <col min="8" max="8" width="14.7109375" customWidth="1"/>
    <col min="9" max="9" width="13.140625" customWidth="1"/>
    <col min="10" max="10" width="12.140625" customWidth="1"/>
    <col min="11" max="11" width="14.42578125" customWidth="1"/>
    <col min="12" max="12" width="13.5703125" customWidth="1"/>
    <col min="13" max="13" width="52.42578125" customWidth="1"/>
    <col min="15" max="15" width="11.140625" customWidth="1"/>
    <col min="16" max="16" width="10.140625" customWidth="1"/>
    <col min="17" max="17" width="12.5703125" customWidth="1"/>
    <col min="18" max="18" width="12.42578125" customWidth="1"/>
    <col min="19" max="19" width="14.7109375" customWidth="1"/>
    <col min="20" max="22" width="12.42578125" customWidth="1"/>
    <col min="24" max="24" width="22.85546875" bestFit="1" customWidth="1"/>
    <col min="25" max="25" width="14" customWidth="1"/>
    <col min="27" max="27" width="10.85546875" customWidth="1"/>
    <col min="28" max="28" width="12.28515625" customWidth="1"/>
  </cols>
  <sheetData>
    <row r="1" spans="1:31" ht="40.5" customHeight="1" x14ac:dyDescent="0.3">
      <c r="A1" s="1162" t="s">
        <v>477</v>
      </c>
      <c r="B1" s="1163"/>
      <c r="C1" s="1164" t="s">
        <v>1246</v>
      </c>
      <c r="D1" s="1165"/>
      <c r="E1" s="1166"/>
      <c r="F1" s="1167" t="s">
        <v>832</v>
      </c>
      <c r="G1" s="1168"/>
      <c r="H1" s="1168"/>
      <c r="I1" s="1168"/>
      <c r="J1" s="1169"/>
      <c r="K1" s="1176" t="s">
        <v>460</v>
      </c>
      <c r="L1" s="1176"/>
      <c r="M1" s="404"/>
      <c r="Q1" s="276"/>
      <c r="R1" s="277"/>
      <c r="S1" s="277"/>
      <c r="T1" s="277"/>
      <c r="U1" s="277"/>
      <c r="V1" s="277"/>
      <c r="X1" s="494" t="s">
        <v>74</v>
      </c>
      <c r="Y1" s="791" t="s">
        <v>608</v>
      </c>
      <c r="AA1" s="276" t="s">
        <v>397</v>
      </c>
      <c r="AB1" s="280"/>
      <c r="AC1" s="280"/>
      <c r="AD1" s="281"/>
      <c r="AE1" s="280"/>
    </row>
    <row r="2" spans="1:31" ht="21" x14ac:dyDescent="0.35">
      <c r="A2" s="792" t="s">
        <v>461</v>
      </c>
      <c r="B2" s="793">
        <v>1</v>
      </c>
      <c r="C2" s="1177" t="s">
        <v>1246</v>
      </c>
      <c r="D2" s="1178"/>
      <c r="E2" s="1179"/>
      <c r="F2" s="1170"/>
      <c r="G2" s="1171"/>
      <c r="H2" s="1171"/>
      <c r="I2" s="1171"/>
      <c r="J2" s="1172"/>
      <c r="K2" s="794"/>
      <c r="L2" s="795" t="s">
        <v>152</v>
      </c>
      <c r="M2" s="796">
        <f>K99</f>
        <v>0</v>
      </c>
      <c r="P2" s="791" t="s">
        <v>1254</v>
      </c>
      <c r="Q2" s="797" t="s">
        <v>1255</v>
      </c>
      <c r="S2" s="279"/>
      <c r="T2" s="279"/>
      <c r="U2" s="278"/>
      <c r="V2" s="279"/>
      <c r="X2" s="41" t="s">
        <v>833</v>
      </c>
      <c r="Y2" s="466">
        <f>VLOOKUP(B22,Activities!A10:Q129,16,FALSE)</f>
        <v>27868.467286149284</v>
      </c>
      <c r="AA2" s="791" t="s">
        <v>395</v>
      </c>
      <c r="AB2" s="797" t="s">
        <v>936</v>
      </c>
    </row>
    <row r="3" spans="1:31" ht="18.75" customHeight="1" x14ac:dyDescent="0.25">
      <c r="A3" s="798" t="s">
        <v>267</v>
      </c>
      <c r="B3" s="799">
        <f>'Version Control'!B50</f>
        <v>7</v>
      </c>
      <c r="F3" s="1173"/>
      <c r="G3" s="1174"/>
      <c r="H3" s="1174"/>
      <c r="I3" s="1174"/>
      <c r="J3" s="1175"/>
      <c r="K3" s="800"/>
      <c r="L3" s="801" t="s">
        <v>462</v>
      </c>
      <c r="M3" s="333">
        <f>'Summary Page'!J73</f>
        <v>0</v>
      </c>
      <c r="P3" s="881"/>
      <c r="Q3" s="462" t="s">
        <v>700</v>
      </c>
      <c r="U3" s="277"/>
      <c r="V3" s="280"/>
      <c r="X3" s="71" t="s">
        <v>836</v>
      </c>
      <c r="Y3" s="467">
        <f>Y2*2</f>
        <v>55736.934572298567</v>
      </c>
      <c r="AA3" s="82"/>
      <c r="AB3" s="797"/>
      <c r="AC3" s="834" t="s">
        <v>700</v>
      </c>
    </row>
    <row r="4" spans="1:31" ht="21" x14ac:dyDescent="0.25">
      <c r="A4" s="802" t="s">
        <v>463</v>
      </c>
      <c r="B4" s="803">
        <f>'Version Control'!A50</f>
        <v>45531</v>
      </c>
      <c r="K4" s="804"/>
      <c r="L4" s="805" t="s">
        <v>464</v>
      </c>
      <c r="M4" s="337" t="e">
        <f>M2/M3</f>
        <v>#DIV/0!</v>
      </c>
      <c r="P4" s="882" t="s">
        <v>648</v>
      </c>
      <c r="Q4" s="883">
        <f>VLOOKUP(P2,Activities!$A$10:$Q$152,16,FALSE)</f>
        <v>35.200000000000003</v>
      </c>
      <c r="U4" s="277"/>
      <c r="V4" s="280"/>
      <c r="X4" s="71" t="s">
        <v>834</v>
      </c>
      <c r="Y4" s="467">
        <f>Y2*3</f>
        <v>83605.401858447847</v>
      </c>
      <c r="AA4" s="362" t="s">
        <v>648</v>
      </c>
      <c r="AB4" s="357"/>
      <c r="AC4" s="357">
        <f>VLOOKUP(AA2,Activities!$A$10:$Q$152,16,FALSE)</f>
        <v>83.477353390123142</v>
      </c>
    </row>
    <row r="5" spans="1:31" ht="23.25" x14ac:dyDescent="0.25">
      <c r="A5" s="1180" t="s">
        <v>612</v>
      </c>
      <c r="B5" s="1181"/>
      <c r="C5" s="1181"/>
      <c r="D5" s="1181"/>
      <c r="E5" s="1182"/>
      <c r="G5" s="1186" t="s">
        <v>466</v>
      </c>
      <c r="H5" s="1187"/>
      <c r="I5" s="1187"/>
      <c r="J5" s="1188"/>
      <c r="P5" s="277"/>
      <c r="Q5" s="280"/>
      <c r="R5" s="280"/>
      <c r="S5" s="281"/>
      <c r="T5" s="280"/>
      <c r="U5" s="277"/>
      <c r="V5" s="280"/>
      <c r="X5" s="71" t="s">
        <v>835</v>
      </c>
      <c r="Y5" s="467">
        <f>Y2*5</f>
        <v>139342.33643074642</v>
      </c>
    </row>
    <row r="6" spans="1:31" ht="38.25" customHeight="1" x14ac:dyDescent="0.25">
      <c r="A6" s="1183"/>
      <c r="B6" s="1184"/>
      <c r="C6" s="1184"/>
      <c r="D6" s="1184"/>
      <c r="E6" s="1185"/>
      <c r="F6" s="835"/>
      <c r="G6" s="1189" t="s">
        <v>669</v>
      </c>
      <c r="H6" s="1190"/>
      <c r="I6" s="1190"/>
      <c r="J6" s="1190"/>
      <c r="K6" s="1190"/>
      <c r="L6" s="1190"/>
      <c r="M6" s="1191"/>
      <c r="P6" s="277"/>
      <c r="Q6" s="277"/>
      <c r="R6" s="277"/>
      <c r="S6" s="277"/>
      <c r="T6" s="277"/>
      <c r="U6" s="277"/>
      <c r="V6" s="280"/>
      <c r="X6" s="884" t="s">
        <v>613</v>
      </c>
      <c r="Y6" s="124"/>
      <c r="AA6" s="791" t="s">
        <v>396</v>
      </c>
      <c r="AB6" s="797" t="s">
        <v>935</v>
      </c>
    </row>
    <row r="7" spans="1:31" ht="16.5" customHeight="1" x14ac:dyDescent="0.3">
      <c r="A7" s="806">
        <v>1</v>
      </c>
      <c r="B7" s="1195" t="s">
        <v>391</v>
      </c>
      <c r="C7" s="1196"/>
      <c r="D7" s="1196"/>
      <c r="E7" s="1197"/>
      <c r="F7" s="836"/>
      <c r="G7" s="1192"/>
      <c r="H7" s="1193"/>
      <c r="I7" s="1193"/>
      <c r="J7" s="1193"/>
      <c r="K7" s="1193"/>
      <c r="L7" s="1193"/>
      <c r="M7" s="1194"/>
      <c r="Q7" s="276"/>
      <c r="R7" s="277"/>
      <c r="S7" s="277"/>
      <c r="T7" s="277"/>
      <c r="U7" s="277"/>
      <c r="V7" s="277"/>
      <c r="AA7" s="508" t="s">
        <v>61</v>
      </c>
      <c r="AB7" s="508" t="s">
        <v>648</v>
      </c>
      <c r="AC7" s="508" t="s">
        <v>140</v>
      </c>
    </row>
    <row r="8" spans="1:31" ht="29.25" customHeight="1" x14ac:dyDescent="0.25">
      <c r="A8" s="807">
        <v>2</v>
      </c>
      <c r="B8" s="1135" t="s">
        <v>390</v>
      </c>
      <c r="C8" s="1136"/>
      <c r="D8" s="1136"/>
      <c r="E8" s="1011"/>
      <c r="F8" s="836"/>
      <c r="G8" s="1137"/>
      <c r="H8" s="1138"/>
      <c r="I8" s="1138"/>
      <c r="J8" s="1138"/>
      <c r="K8" s="1138"/>
      <c r="L8" s="1138"/>
      <c r="M8" s="1139"/>
      <c r="P8" s="278"/>
      <c r="Q8" s="279"/>
      <c r="R8" s="279"/>
      <c r="S8" s="279"/>
      <c r="T8" s="279"/>
      <c r="U8" s="278"/>
      <c r="V8" s="279"/>
      <c r="AA8" s="462" t="s">
        <v>54</v>
      </c>
      <c r="AB8" s="508" t="s">
        <v>700</v>
      </c>
      <c r="AC8" s="462"/>
    </row>
    <row r="9" spans="1:31" ht="29.25" customHeight="1" x14ac:dyDescent="0.25">
      <c r="A9" s="807">
        <v>3</v>
      </c>
      <c r="B9" s="1146" t="s">
        <v>1325</v>
      </c>
      <c r="C9" s="1147"/>
      <c r="D9" s="1147"/>
      <c r="E9" s="1148"/>
      <c r="F9" s="836"/>
      <c r="G9" s="1140"/>
      <c r="H9" s="1141"/>
      <c r="I9" s="1141"/>
      <c r="J9" s="1141"/>
      <c r="K9" s="1141"/>
      <c r="L9" s="1141"/>
      <c r="M9" s="1142"/>
      <c r="P9" s="277"/>
      <c r="Q9" s="280"/>
      <c r="R9" s="280"/>
      <c r="S9" s="281"/>
      <c r="T9" s="280"/>
      <c r="U9" s="277"/>
      <c r="V9" s="280"/>
      <c r="AA9" s="461">
        <v>25</v>
      </c>
      <c r="AB9" s="808">
        <f>VLOOKUP(AA6,Activities!A10:Q152,16,FALSE)</f>
        <v>9.0925833525454216</v>
      </c>
      <c r="AC9" s="461">
        <v>1</v>
      </c>
    </row>
    <row r="10" spans="1:31" ht="30" customHeight="1" x14ac:dyDescent="0.25">
      <c r="A10" s="807">
        <v>4</v>
      </c>
      <c r="B10" s="1149" t="s">
        <v>1324</v>
      </c>
      <c r="C10" s="1149"/>
      <c r="D10" s="1149"/>
      <c r="E10" s="1150"/>
      <c r="F10" s="836"/>
      <c r="G10" s="1140"/>
      <c r="H10" s="1141"/>
      <c r="I10" s="1141"/>
      <c r="J10" s="1141"/>
      <c r="K10" s="1141"/>
      <c r="L10" s="1141"/>
      <c r="M10" s="1142"/>
      <c r="P10" s="277"/>
      <c r="Q10" s="280"/>
      <c r="R10" s="280"/>
      <c r="S10" s="281"/>
      <c r="T10" s="280"/>
      <c r="U10" s="277"/>
      <c r="V10" s="280"/>
      <c r="AA10" s="461">
        <v>50</v>
      </c>
      <c r="AB10" s="808">
        <f>AB$9*AC10</f>
        <v>13.086705201305357</v>
      </c>
      <c r="AC10" s="461">
        <v>1.4392725030826141</v>
      </c>
    </row>
    <row r="11" spans="1:31" x14ac:dyDescent="0.25">
      <c r="A11" s="807">
        <v>5</v>
      </c>
      <c r="B11" s="1151"/>
      <c r="C11" s="1152"/>
      <c r="D11" s="1152"/>
      <c r="E11" s="1153"/>
      <c r="F11" s="836"/>
      <c r="G11" s="1140"/>
      <c r="H11" s="1141"/>
      <c r="I11" s="1141"/>
      <c r="J11" s="1141"/>
      <c r="K11" s="1141"/>
      <c r="L11" s="1141"/>
      <c r="M11" s="1142"/>
      <c r="P11" s="277"/>
      <c r="Q11" s="280"/>
      <c r="R11" s="280"/>
      <c r="S11" s="281"/>
      <c r="T11" s="280"/>
      <c r="U11" s="277"/>
      <c r="V11" s="280"/>
      <c r="AA11" s="461">
        <v>100</v>
      </c>
      <c r="AB11" s="808">
        <f>AB$9*AC11</f>
        <v>21.074948898825227</v>
      </c>
      <c r="AC11" s="461">
        <v>2.3178175092478424</v>
      </c>
    </row>
    <row r="12" spans="1:31" x14ac:dyDescent="0.25">
      <c r="A12" s="809">
        <v>6</v>
      </c>
      <c r="B12" s="1154"/>
      <c r="C12" s="1154"/>
      <c r="D12" s="1154"/>
      <c r="E12" s="1155"/>
      <c r="G12" s="1140"/>
      <c r="H12" s="1141"/>
      <c r="I12" s="1141"/>
      <c r="J12" s="1141"/>
      <c r="K12" s="1141"/>
      <c r="L12" s="1141"/>
      <c r="M12" s="1142"/>
      <c r="P12" s="277"/>
      <c r="Q12" s="280"/>
      <c r="R12" s="280"/>
      <c r="S12" s="281"/>
      <c r="T12" s="280"/>
      <c r="U12" s="277"/>
      <c r="V12" s="280"/>
      <c r="AA12" s="461">
        <v>200</v>
      </c>
      <c r="AB12" s="808">
        <f>AB$9*AC12</f>
        <v>37.05143629386496</v>
      </c>
      <c r="AC12" s="461">
        <v>4.0749075215782984</v>
      </c>
    </row>
    <row r="13" spans="1:31" x14ac:dyDescent="0.25">
      <c r="A13" s="56" t="s">
        <v>34</v>
      </c>
      <c r="G13" s="1140"/>
      <c r="H13" s="1141"/>
      <c r="I13" s="1141"/>
      <c r="J13" s="1141"/>
      <c r="K13" s="1141"/>
      <c r="L13" s="1141"/>
      <c r="M13" s="1142"/>
      <c r="P13" s="277"/>
      <c r="Q13" s="277"/>
      <c r="R13" s="277"/>
      <c r="S13" s="277"/>
      <c r="T13" s="277"/>
      <c r="U13" s="277"/>
      <c r="V13" s="280"/>
      <c r="AA13" s="461">
        <v>300</v>
      </c>
      <c r="AB13" s="808">
        <f>AB$9*AC13</f>
        <v>53.0279236889047</v>
      </c>
      <c r="AC13" s="461">
        <v>5.8319975339087549</v>
      </c>
    </row>
    <row r="14" spans="1:31" ht="18.75" x14ac:dyDescent="0.25">
      <c r="A14" s="1156"/>
      <c r="B14" s="1157"/>
      <c r="C14" s="1158" t="s">
        <v>352</v>
      </c>
      <c r="D14" s="1158"/>
      <c r="E14" s="1159"/>
      <c r="G14" s="1140"/>
      <c r="H14" s="1141"/>
      <c r="I14" s="1141"/>
      <c r="J14" s="1141"/>
      <c r="K14" s="1141"/>
      <c r="L14" s="1141"/>
      <c r="M14" s="1142"/>
      <c r="P14" s="514" t="s">
        <v>70</v>
      </c>
      <c r="Q14" s="537" t="s">
        <v>19</v>
      </c>
      <c r="R14" s="1198" t="s">
        <v>72</v>
      </c>
      <c r="S14" s="1199"/>
      <c r="T14" s="1199"/>
      <c r="U14" s="1199"/>
      <c r="V14" s="1200"/>
      <c r="AA14" s="461">
        <v>400</v>
      </c>
      <c r="AB14" s="808">
        <f>AB$9*AC14</f>
        <v>69.004411083944447</v>
      </c>
      <c r="AC14" s="461">
        <v>7.5890875462392131</v>
      </c>
    </row>
    <row r="15" spans="1:31" ht="15" customHeight="1" x14ac:dyDescent="0.25">
      <c r="A15" s="1201"/>
      <c r="B15" s="1202"/>
      <c r="C15" s="1203" t="s">
        <v>467</v>
      </c>
      <c r="D15" s="1203"/>
      <c r="E15" s="1204"/>
      <c r="G15" s="1140"/>
      <c r="H15" s="1141"/>
      <c r="I15" s="1141"/>
      <c r="J15" s="1141"/>
      <c r="K15" s="1141"/>
      <c r="L15" s="1141"/>
      <c r="M15" s="1142"/>
      <c r="P15" s="807" t="s">
        <v>61</v>
      </c>
      <c r="Q15" s="274" t="s">
        <v>58</v>
      </c>
      <c r="R15" s="274" t="s">
        <v>59</v>
      </c>
      <c r="S15" s="274" t="s">
        <v>60</v>
      </c>
      <c r="T15" s="274" t="s">
        <v>53</v>
      </c>
      <c r="U15" s="810" t="s">
        <v>61</v>
      </c>
      <c r="V15" s="811" t="s">
        <v>53</v>
      </c>
      <c r="AA15" t="s">
        <v>264</v>
      </c>
    </row>
    <row r="16" spans="1:31" ht="15" customHeight="1" x14ac:dyDescent="0.25">
      <c r="A16" s="1205" t="s">
        <v>825</v>
      </c>
      <c r="B16" s="1206"/>
      <c r="C16" s="1206"/>
      <c r="D16" s="1206"/>
      <c r="E16" s="1207"/>
      <c r="G16" s="1140"/>
      <c r="H16" s="1141"/>
      <c r="I16" s="1141"/>
      <c r="J16" s="1141"/>
      <c r="K16" s="1141"/>
      <c r="L16" s="1141"/>
      <c r="M16" s="1142"/>
      <c r="P16" s="71" t="s">
        <v>35</v>
      </c>
      <c r="Q16" s="357">
        <f>VLOOKUP(P14,Activities!$A$10:$Q$152,16,FALSE)</f>
        <v>1.4289323610931841</v>
      </c>
      <c r="R16" s="357">
        <f>VLOOKUP(Q14,Activities!$A$10:$Q$152,16,FALSE)</f>
        <v>1.1303836975020005</v>
      </c>
      <c r="S16" s="358">
        <v>1</v>
      </c>
      <c r="T16" s="392">
        <f>R16+Q16</f>
        <v>2.5593160585951846</v>
      </c>
      <c r="U16" s="45" t="s">
        <v>35</v>
      </c>
      <c r="V16" s="393">
        <f>T16</f>
        <v>2.5593160585951846</v>
      </c>
    </row>
    <row r="17" spans="1:32" x14ac:dyDescent="0.25">
      <c r="A17" s="1208"/>
      <c r="B17" s="1136"/>
      <c r="C17" s="1136"/>
      <c r="D17" s="1136"/>
      <c r="E17" s="1011"/>
      <c r="G17" s="1140"/>
      <c r="H17" s="1141"/>
      <c r="I17" s="1141"/>
      <c r="J17" s="1141"/>
      <c r="K17" s="1141"/>
      <c r="L17" s="1141"/>
      <c r="M17" s="1142"/>
      <c r="P17" s="71" t="s">
        <v>36</v>
      </c>
      <c r="Q17" s="392">
        <f>Q16</f>
        <v>1.4289323610931841</v>
      </c>
      <c r="R17" s="392">
        <f>R16*2</f>
        <v>2.260767395004001</v>
      </c>
      <c r="S17" s="358">
        <v>0.8</v>
      </c>
      <c r="T17" s="392">
        <f>Q17+(R17*S17)</f>
        <v>3.237546277096385</v>
      </c>
      <c r="U17" s="45" t="s">
        <v>36</v>
      </c>
      <c r="V17" s="393">
        <f>T17</f>
        <v>3.237546277096385</v>
      </c>
      <c r="AA17" s="56" t="s">
        <v>939</v>
      </c>
    </row>
    <row r="18" spans="1:32" x14ac:dyDescent="0.25">
      <c r="A18" s="1208"/>
      <c r="B18" s="1136"/>
      <c r="C18" s="1136"/>
      <c r="D18" s="1136"/>
      <c r="E18" s="1011"/>
      <c r="G18" s="1140"/>
      <c r="H18" s="1141"/>
      <c r="I18" s="1141"/>
      <c r="J18" s="1141"/>
      <c r="K18" s="1141"/>
      <c r="L18" s="1141"/>
      <c r="M18" s="1142"/>
      <c r="P18" s="71" t="s">
        <v>37</v>
      </c>
      <c r="Q18" s="392">
        <f t="shared" ref="Q18:Q19" si="0">Q17</f>
        <v>1.4289323610931841</v>
      </c>
      <c r="R18" s="392">
        <f>R16*4</f>
        <v>4.5215347900080021</v>
      </c>
      <c r="S18" s="358">
        <v>0.7</v>
      </c>
      <c r="T18" s="392">
        <f>Q18+(R18*S18)</f>
        <v>4.5940067140987857</v>
      </c>
      <c r="U18" s="45" t="s">
        <v>37</v>
      </c>
      <c r="V18" s="393">
        <f>T18</f>
        <v>4.5940067140987857</v>
      </c>
      <c r="AA18" s="508" t="s">
        <v>61</v>
      </c>
      <c r="AB18" s="508" t="s">
        <v>648</v>
      </c>
    </row>
    <row r="19" spans="1:32" x14ac:dyDescent="0.25">
      <c r="A19" s="1209"/>
      <c r="B19" s="1210"/>
      <c r="C19" s="1210"/>
      <c r="D19" s="1210"/>
      <c r="E19" s="1211"/>
      <c r="G19" s="1143"/>
      <c r="H19" s="1144"/>
      <c r="I19" s="1144"/>
      <c r="J19" s="1144"/>
      <c r="K19" s="1144"/>
      <c r="L19" s="1144"/>
      <c r="M19" s="1145"/>
      <c r="P19" s="71" t="s">
        <v>38</v>
      </c>
      <c r="Q19" s="392">
        <f t="shared" si="0"/>
        <v>1.4289323610931841</v>
      </c>
      <c r="R19" s="392">
        <f>R16*8</f>
        <v>9.0430695800160041</v>
      </c>
      <c r="S19" s="358">
        <v>0.6</v>
      </c>
      <c r="T19" s="392">
        <f>Q19+(R19*S19)</f>
        <v>6.8547741091027863</v>
      </c>
      <c r="U19" s="45" t="s">
        <v>244</v>
      </c>
      <c r="V19" s="393">
        <f>T19</f>
        <v>6.8547741091027863</v>
      </c>
      <c r="AA19" s="462" t="s">
        <v>54</v>
      </c>
      <c r="AB19" s="508" t="s">
        <v>700</v>
      </c>
    </row>
    <row r="20" spans="1:32" ht="15" customHeight="1" x14ac:dyDescent="0.25">
      <c r="D20" s="812" t="s">
        <v>386</v>
      </c>
      <c r="J20" s="813" t="s">
        <v>386</v>
      </c>
      <c r="L20" s="814"/>
      <c r="M20" s="815"/>
      <c r="P20" s="399"/>
      <c r="Q20" s="400"/>
      <c r="R20" s="400"/>
      <c r="S20" s="400"/>
      <c r="T20" s="400"/>
      <c r="U20" s="51" t="s">
        <v>264</v>
      </c>
      <c r="V20" s="401"/>
      <c r="AA20" s="461">
        <v>25</v>
      </c>
      <c r="AB20" s="808">
        <f>AC$4+AB9</f>
        <v>92.56993674266856</v>
      </c>
    </row>
    <row r="21" spans="1:32" s="1" customFormat="1" ht="60.75" thickBot="1" x14ac:dyDescent="0.3">
      <c r="A21" s="119" t="s">
        <v>39</v>
      </c>
      <c r="B21" s="120" t="s">
        <v>40</v>
      </c>
      <c r="C21" s="120" t="s">
        <v>479</v>
      </c>
      <c r="D21" s="311" t="s">
        <v>272</v>
      </c>
      <c r="E21" s="311" t="s">
        <v>43</v>
      </c>
      <c r="F21" s="120" t="s">
        <v>273</v>
      </c>
      <c r="G21" s="1212" t="s">
        <v>416</v>
      </c>
      <c r="H21" s="1212"/>
      <c r="I21" s="120" t="s">
        <v>45</v>
      </c>
      <c r="J21" s="312" t="s">
        <v>271</v>
      </c>
      <c r="K21" s="120" t="s">
        <v>47</v>
      </c>
      <c r="L21" s="120" t="s">
        <v>270</v>
      </c>
      <c r="M21" s="317" t="s">
        <v>415</v>
      </c>
      <c r="P21" s="277"/>
      <c r="Q21" s="277"/>
      <c r="R21" s="277"/>
      <c r="S21" s="277"/>
      <c r="T21" s="277"/>
      <c r="U21" s="277"/>
      <c r="V21" s="280"/>
      <c r="AA21" s="461">
        <v>50</v>
      </c>
      <c r="AB21" s="808">
        <f t="shared" ref="AB21:AB25" si="1">AC$4+AB10</f>
        <v>96.564058591428505</v>
      </c>
      <c r="AC21"/>
    </row>
    <row r="22" spans="1:32" ht="48.75" customHeight="1" thickBot="1" x14ac:dyDescent="0.3">
      <c r="A22" s="527" t="s">
        <v>440</v>
      </c>
      <c r="B22" s="102" t="s">
        <v>608</v>
      </c>
      <c r="C22" s="837" t="str">
        <f>VLOOKUP($B22,Activities!$A$10:$P$152,3,FALSE)</f>
        <v>Design/Quantify/Survey Rehabilitation Structures to Specification Standard</v>
      </c>
      <c r="D22" s="239" t="s">
        <v>49</v>
      </c>
      <c r="E22" s="240"/>
      <c r="F22" s="838" t="str">
        <f>VLOOKUP($B22,Activities!$A$10:$P$152,4,FALSE)</f>
        <v>Item</v>
      </c>
      <c r="G22" s="313" t="s">
        <v>837</v>
      </c>
      <c r="H22" s="140" t="s">
        <v>833</v>
      </c>
      <c r="I22" s="273">
        <f>VLOOKUP(H22,X2:Y6,2,FALSE)</f>
        <v>27868.467286149284</v>
      </c>
      <c r="J22" s="269"/>
      <c r="K22" s="390">
        <f>IF(D22="Y",IF(J22="",I22*E22,J22*E22),"")</f>
        <v>0</v>
      </c>
      <c r="L22" s="248" t="str">
        <f>IFERROR(IF(D22="Y",K22/$K$99,0%),"0.0%")</f>
        <v>0.0%</v>
      </c>
      <c r="M22" s="816" t="s">
        <v>814</v>
      </c>
      <c r="P22" s="791" t="s">
        <v>392</v>
      </c>
      <c r="Q22" s="1213" t="s">
        <v>394</v>
      </c>
      <c r="R22" s="1213"/>
      <c r="S22" s="1213"/>
      <c r="T22" s="1213"/>
      <c r="U22" s="277"/>
      <c r="V22" s="277"/>
      <c r="AA22" s="461">
        <v>100</v>
      </c>
      <c r="AB22" s="808">
        <f t="shared" si="1"/>
        <v>104.55230228894837</v>
      </c>
      <c r="AD22" s="1"/>
      <c r="AE22" s="1"/>
      <c r="AF22" s="1"/>
    </row>
    <row r="23" spans="1:32" ht="16.5" thickBot="1" x14ac:dyDescent="0.3">
      <c r="A23" s="21" t="s">
        <v>53</v>
      </c>
      <c r="B23" s="22" t="str">
        <f>A22</f>
        <v>Preliminary Assessments</v>
      </c>
      <c r="C23" s="23"/>
      <c r="D23" s="885"/>
      <c r="E23" s="886"/>
      <c r="F23" s="839"/>
      <c r="G23" s="24"/>
      <c r="H23" s="24"/>
      <c r="I23" s="354"/>
      <c r="J23" s="354"/>
      <c r="K23" s="256">
        <f>SUM(K22:K22)</f>
        <v>0</v>
      </c>
      <c r="L23" s="24"/>
      <c r="M23" s="29"/>
      <c r="P23" s="505" t="s">
        <v>823</v>
      </c>
      <c r="Q23" s="506"/>
      <c r="R23" s="506">
        <f>VLOOKUP(S23,Activities!$A$10:$Q$152,16,FALSE)</f>
        <v>1241.113183883308</v>
      </c>
      <c r="S23" s="504" t="s">
        <v>392</v>
      </c>
      <c r="T23" s="507"/>
      <c r="U23" s="277"/>
      <c r="V23" s="280"/>
      <c r="AA23" s="461">
        <v>200</v>
      </c>
      <c r="AB23" s="808">
        <f t="shared" si="1"/>
        <v>120.52878968398809</v>
      </c>
      <c r="AC23" s="1"/>
      <c r="AD23" s="1"/>
      <c r="AE23" s="1"/>
      <c r="AF23" s="1"/>
    </row>
    <row r="24" spans="1:32" ht="48.75" thickBot="1" x14ac:dyDescent="0.3">
      <c r="A24" s="1132" t="s">
        <v>1207</v>
      </c>
      <c r="B24" s="102" t="s">
        <v>228</v>
      </c>
      <c r="C24" s="90" t="str">
        <f>VLOOKUP($B24,Activities!$A$10:$P$152,3,FALSE)</f>
        <v>Disconnection of Services to Area</v>
      </c>
      <c r="D24" s="239" t="s">
        <v>49</v>
      </c>
      <c r="E24" s="320"/>
      <c r="F24" s="838" t="str">
        <f>VLOOKUP($B24,Activities!$A$10:$P$152,4,FALSE)</f>
        <v>Item</v>
      </c>
      <c r="G24" s="1160"/>
      <c r="H24" s="1161"/>
      <c r="I24" s="273">
        <f>VLOOKUP($B24,Activities!$A$10:$S$152,16,FALSE)</f>
        <v>3678.6008957627482</v>
      </c>
      <c r="J24" s="269"/>
      <c r="K24" s="390">
        <f t="shared" ref="K24:K25" si="2">IF(D24="Y",IF(J24="",I24*E24,J24*E24),0)</f>
        <v>0</v>
      </c>
      <c r="L24" s="248" t="str">
        <f>IFERROR(IF(D24="Y",K24/$K$59,0%),"0.0%")</f>
        <v>0.0%</v>
      </c>
      <c r="M24" s="816" t="str">
        <f>VLOOKUP($B24,Activities!$A$10:$S$152,19,FALSE)</f>
        <v>This Activity includes disconnecting and terminating all services such as power, water and sewer.  It covers the disconnection costs for an area.  Within a mine site there may be a number of areas which need to have services disconnected.</v>
      </c>
      <c r="P24" s="363" t="s">
        <v>821</v>
      </c>
      <c r="Q24" s="384"/>
      <c r="R24" s="384">
        <f>VLOOKUP(S24,Activities!$A$10:$Q$152,16,FALSE)</f>
        <v>10.342609865694234</v>
      </c>
      <c r="S24" s="385" t="s">
        <v>393</v>
      </c>
      <c r="T24" s="365"/>
      <c r="U24" s="277"/>
      <c r="V24" s="280"/>
      <c r="AA24" s="461">
        <v>300</v>
      </c>
      <c r="AB24" s="808">
        <f t="shared" si="1"/>
        <v>136.50527707902785</v>
      </c>
      <c r="AC24" s="1"/>
      <c r="AD24" s="1"/>
      <c r="AE24" s="1"/>
      <c r="AF24" s="1"/>
    </row>
    <row r="25" spans="1:32" ht="72.75" thickBot="1" x14ac:dyDescent="0.3">
      <c r="A25" s="1133"/>
      <c r="B25" s="102" t="s">
        <v>436</v>
      </c>
      <c r="C25" s="90" t="str">
        <f>VLOOKUP($B25,Activities!$A$10:$P$152,3,FALSE)</f>
        <v>Preparation of Transportable units for Demolition and/or Transport off-site</v>
      </c>
      <c r="D25" s="239" t="s">
        <v>49</v>
      </c>
      <c r="E25" s="346"/>
      <c r="F25" s="838" t="str">
        <f>VLOOKUP($B25,Activities!$A$10:$P$152,4,FALSE)</f>
        <v>Item</v>
      </c>
      <c r="G25" s="1160"/>
      <c r="H25" s="1161"/>
      <c r="I25" s="273">
        <f>VLOOKUP($B25,Activities!$A$10:$S$152,16,FALSE)</f>
        <v>1053.2098819582345</v>
      </c>
      <c r="J25" s="269"/>
      <c r="K25" s="388">
        <f t="shared" si="2"/>
        <v>0</v>
      </c>
      <c r="L25" s="248" t="str">
        <f>IFERROR(IF(D25="Y",K25/$K$59,0%),"0.0%")</f>
        <v>0.0%</v>
      </c>
      <c r="M25" s="816" t="str">
        <f>VLOOKUP($B25,Activities!$A$10:$S$152,19,FALSE)</f>
        <v>The activity relates specifically to the activity of preparing a transportable unit for demolition and/or transport off-site.  Activities such as the disconnection of verandahs, walkways, airconditioners and other add-ons.  Larger buildings may need to be split into transportable units.  The unit should then be ready to lift onto a truck to transport off-site.</v>
      </c>
      <c r="P25" s="819" t="str">
        <f>B26</f>
        <v>A1054</v>
      </c>
      <c r="Q25" s="820" t="str">
        <f>C26</f>
        <v>Removal of Transportable Buildings and/or Containers - Loading &amp; Transport Cost</v>
      </c>
      <c r="R25" s="819"/>
      <c r="S25" s="819"/>
      <c r="AA25" s="461">
        <v>400</v>
      </c>
      <c r="AB25" s="808">
        <f t="shared" si="1"/>
        <v>152.48176447406757</v>
      </c>
      <c r="AC25" s="1"/>
    </row>
    <row r="26" spans="1:32" ht="60.75" thickBot="1" x14ac:dyDescent="0.3">
      <c r="A26" s="1133"/>
      <c r="B26" s="102" t="s">
        <v>392</v>
      </c>
      <c r="C26" s="90" t="str">
        <f>VLOOKUP($B26,Activities!$A$10:$P$152,3,FALSE)</f>
        <v>Removal of Transportable Buildings and/or Containers - Loading &amp; Transport Cost</v>
      </c>
      <c r="D26" s="239" t="s">
        <v>49</v>
      </c>
      <c r="E26" s="320"/>
      <c r="F26" s="838" t="str">
        <f>VLOOKUP($B26,Activities!$A$10:$P$152,4,FALSE)</f>
        <v>Items</v>
      </c>
      <c r="G26" s="485" t="s">
        <v>857</v>
      </c>
      <c r="H26" s="140" t="s">
        <v>264</v>
      </c>
      <c r="I26" s="273">
        <f>IF(H26="Select Distance",R23,R23+R24*H26)</f>
        <v>1241.113183883308</v>
      </c>
      <c r="J26" s="269"/>
      <c r="K26" s="390">
        <f t="shared" ref="K26" si="3">IF(D26="Y",IF(J26="",I26*E26,J26*E26),"")</f>
        <v>0</v>
      </c>
      <c r="L26" s="248" t="str">
        <f>IFERROR(IF(D26="Y",K26/$K$99,0%),"0.0%")</f>
        <v>0.0%</v>
      </c>
      <c r="M26" s="816" t="str">
        <f>VLOOKUP($B26,Activities!$A$10:$S$152,19,FALSE)</f>
        <v>This activity covers the costs of removing transportable buildings and/or containers.  It assumes that these buildings can be lifted onto trucks and transported from the site for storage and/or sale.  The only costs included are the cost of loading onto a truck and transporting away.</v>
      </c>
      <c r="P26" s="825" t="s">
        <v>61</v>
      </c>
      <c r="Q26" s="826" t="s">
        <v>58</v>
      </c>
      <c r="R26" s="826" t="s">
        <v>59</v>
      </c>
      <c r="S26" s="826" t="s">
        <v>60</v>
      </c>
      <c r="T26" s="826" t="s">
        <v>53</v>
      </c>
      <c r="U26" s="827" t="s">
        <v>61</v>
      </c>
      <c r="V26" s="828" t="s">
        <v>53</v>
      </c>
      <c r="AA26" t="s">
        <v>264</v>
      </c>
      <c r="AC26" s="1"/>
    </row>
    <row r="27" spans="1:32" ht="48" customHeight="1" thickBot="1" x14ac:dyDescent="0.3">
      <c r="A27" s="1133"/>
      <c r="B27" s="102" t="s">
        <v>395</v>
      </c>
      <c r="C27" s="840" t="str">
        <f>VLOOKUP($B27,Activities!$A$10:$P$152,3,FALSE)</f>
        <v>Load and Remove Rubbish and/or waste from the site to an external dump</v>
      </c>
      <c r="D27" s="239" t="s">
        <v>49</v>
      </c>
      <c r="E27" s="320"/>
      <c r="F27" s="838" t="str">
        <f>VLOOKUP($B27,Activities!$A$10:$P$152,4,FALSE)</f>
        <v>m3</v>
      </c>
      <c r="G27" s="313" t="s">
        <v>856</v>
      </c>
      <c r="H27" s="140" t="s">
        <v>264</v>
      </c>
      <c r="I27" s="817">
        <f>VLOOKUP(H27,$AA$20:$AB$26,2,FALSE)</f>
        <v>0</v>
      </c>
      <c r="J27" s="269"/>
      <c r="K27" s="390">
        <f>IF(D27="Y",IF(J27="",E27*AC4+E27*I27,J27*E27),"")</f>
        <v>0</v>
      </c>
      <c r="L27" s="248" t="str">
        <f>IFERROR(IF(D27="Y",K27/$K$99,0%),"0.0%")</f>
        <v>0.0%</v>
      </c>
      <c r="M27" s="816" t="str">
        <f>VLOOKUP($B27,Activities!$A$10:$S$152,19,FALSE)</f>
        <v>This activity covers the situation when waste and rubbish needs to be fully collected and removed from the site and it is not possible to dispose of it on site.</v>
      </c>
      <c r="P27" s="829" t="s">
        <v>35</v>
      </c>
      <c r="Q27" s="280">
        <f>VLOOKUP(P25,Activities!$A$10:$Q$152,16,FALSE)</f>
        <v>1241.113183883308</v>
      </c>
      <c r="R27" s="280">
        <f>Activities!$P$17</f>
        <v>1.1303836975020005</v>
      </c>
      <c r="S27" s="281">
        <v>1</v>
      </c>
      <c r="T27" s="280">
        <f>R27+Q27</f>
        <v>1242.2435675808101</v>
      </c>
      <c r="U27" s="277" t="s">
        <v>35</v>
      </c>
      <c r="V27" s="830">
        <f>T27</f>
        <v>1242.2435675808101</v>
      </c>
    </row>
    <row r="28" spans="1:32" ht="48.75" thickBot="1" x14ac:dyDescent="0.3">
      <c r="A28" s="1133"/>
      <c r="B28" s="102" t="s">
        <v>398</v>
      </c>
      <c r="C28" s="110" t="str">
        <f>VLOOKUP($B28,Activities!$A$10:$P$152,3,FALSE)</f>
        <v>Deep Ripping of Hardstand area for Rehabilitation</v>
      </c>
      <c r="D28" s="239" t="s">
        <v>49</v>
      </c>
      <c r="E28" s="240"/>
      <c r="F28" s="838" t="str">
        <f>VLOOKUP($B28,Activities!$A$10:$P$152,4,FALSE)</f>
        <v>Ha</v>
      </c>
      <c r="G28" s="1160"/>
      <c r="H28" s="1161"/>
      <c r="I28" s="273">
        <f>VLOOKUP($B28,Activities!$A$10:$S$152,16,FALSE)</f>
        <v>829.40192654187592</v>
      </c>
      <c r="J28" s="269"/>
      <c r="K28" s="390">
        <f t="shared" ref="K28:K29" si="4">IF(D28="Y",IF(J28="",I28*E28,J28*E28),0)</f>
        <v>0</v>
      </c>
      <c r="L28" s="248" t="str">
        <f>IFERROR(IF(D28="Y",K28/$K$59,0%),"0.0%")</f>
        <v>0.0%</v>
      </c>
      <c r="M28" s="816" t="str">
        <f>VLOOKUP($B28,Activities!$A$10:$S$152,19,FALSE)</f>
        <v>This activity covers the situation where a hard stand area needs to be deep ripped by a dozer or appropriate machine.  It may be required to key in materials or situations where the ground is heavily compacted.</v>
      </c>
      <c r="P28" s="829" t="s">
        <v>36</v>
      </c>
      <c r="Q28" s="280">
        <f>Q27</f>
        <v>1241.113183883308</v>
      </c>
      <c r="R28" s="280">
        <f>R27*2</f>
        <v>2.260767395004001</v>
      </c>
      <c r="S28" s="281">
        <v>0.8</v>
      </c>
      <c r="T28" s="280">
        <f>Q28+(R28*S28)</f>
        <v>1242.9217977993112</v>
      </c>
      <c r="U28" s="277" t="s">
        <v>36</v>
      </c>
      <c r="V28" s="830">
        <f>T28</f>
        <v>1242.9217977993112</v>
      </c>
    </row>
    <row r="29" spans="1:32" ht="78" customHeight="1" thickBot="1" x14ac:dyDescent="0.3">
      <c r="A29" s="1133"/>
      <c r="B29" s="102" t="s">
        <v>251</v>
      </c>
      <c r="C29" s="110" t="str">
        <f>VLOOKUP($B29,Activities!$A$10:$P$152,3,FALSE)</f>
        <v>Scarification and ripping of Haul and Access Roads</v>
      </c>
      <c r="D29" s="239" t="s">
        <v>49</v>
      </c>
      <c r="E29" s="240"/>
      <c r="F29" s="838" t="str">
        <f>VLOOKUP($B29,Activities!$A$10:$P$152,4,FALSE)</f>
        <v>km</v>
      </c>
      <c r="G29" s="1160"/>
      <c r="H29" s="1161"/>
      <c r="I29" s="273">
        <f>VLOOKUP($B29,Activities!$A$10:$S$152,16,FALSE)</f>
        <v>817.62150792547607</v>
      </c>
      <c r="J29" s="269"/>
      <c r="K29" s="390">
        <f t="shared" si="4"/>
        <v>0</v>
      </c>
      <c r="L29" s="248" t="str">
        <f>IFERROR(IF(D29="Y",K29/$K$59,0%),"0.0%")</f>
        <v>0.0%</v>
      </c>
      <c r="M29" s="816" t="str">
        <f>VLOOKUP($B29,Activities!$A$10:$S$152,19,FALSE)</f>
        <v>This activity is specifically minor shaping and for the scarification and where necessary the deep ripping of Haul and Access roads to allow natural re-vegetation to occurr.   It is appropriate for access roads and tracks of a width of 5 metres and of minimal construction.  (Access to drill locations and minor areas) ( For major constructed haul roads  20m in width use A1039)</v>
      </c>
      <c r="P29" s="829" t="s">
        <v>37</v>
      </c>
      <c r="Q29" s="280">
        <f t="shared" ref="Q29" si="5">Q28</f>
        <v>1241.113183883308</v>
      </c>
      <c r="R29" s="280">
        <f>R27*3.5</f>
        <v>3.9563429412570019</v>
      </c>
      <c r="S29" s="281">
        <v>0.7</v>
      </c>
      <c r="T29" s="280">
        <f>Q29+(R29*S29)</f>
        <v>1243.8826239421878</v>
      </c>
      <c r="U29" s="277" t="s">
        <v>37</v>
      </c>
      <c r="V29" s="830">
        <f>T29</f>
        <v>1243.8826239421878</v>
      </c>
    </row>
    <row r="30" spans="1:32" ht="48" thickBot="1" x14ac:dyDescent="0.3">
      <c r="A30" s="1134"/>
      <c r="B30" s="19"/>
      <c r="C30" s="271" t="s">
        <v>300</v>
      </c>
      <c r="D30" s="239" t="s">
        <v>52</v>
      </c>
      <c r="E30" s="240"/>
      <c r="F30" s="841"/>
      <c r="G30" s="1160"/>
      <c r="H30" s="1161"/>
      <c r="I30" s="818" t="s">
        <v>475</v>
      </c>
      <c r="J30" s="269"/>
      <c r="K30" s="390">
        <f>IF(D30="Y",J30*E30,0)</f>
        <v>0</v>
      </c>
      <c r="L30" s="248">
        <f>IFERROR(IF(D30="Y",K30/$K$99,0%),"0.0%")</f>
        <v>0</v>
      </c>
      <c r="M30" s="139" t="s">
        <v>56</v>
      </c>
      <c r="P30" s="829" t="s">
        <v>38</v>
      </c>
      <c r="Q30" s="280">
        <f>Q29</f>
        <v>1241.113183883308</v>
      </c>
      <c r="R30" s="280">
        <f>R27*5</f>
        <v>5.6519184875100024</v>
      </c>
      <c r="S30" s="281">
        <v>0.6</v>
      </c>
      <c r="T30" s="280">
        <f>Q30+(R30*S30)</f>
        <v>1244.5043349758141</v>
      </c>
      <c r="U30" s="277" t="s">
        <v>244</v>
      </c>
      <c r="V30" s="830">
        <f>T30</f>
        <v>1244.5043349758141</v>
      </c>
    </row>
    <row r="31" spans="1:32" ht="16.5" thickBot="1" x14ac:dyDescent="0.3">
      <c r="A31" s="21" t="s">
        <v>53</v>
      </c>
      <c r="B31" s="22" t="str">
        <f>A24</f>
        <v>Camp and Laydown Areas</v>
      </c>
      <c r="C31" s="23"/>
      <c r="D31" s="24"/>
      <c r="E31" s="25"/>
      <c r="F31" s="839"/>
      <c r="G31" s="24"/>
      <c r="H31" s="24"/>
      <c r="I31" s="354"/>
      <c r="J31" s="354"/>
      <c r="K31" s="256">
        <f>SUM(K24:K30)</f>
        <v>0</v>
      </c>
      <c r="L31" s="24"/>
      <c r="M31" s="29"/>
      <c r="P31" s="287"/>
      <c r="Q31" s="288"/>
      <c r="R31" s="288"/>
      <c r="S31" s="288"/>
      <c r="T31" s="288"/>
      <c r="U31" s="288" t="s">
        <v>264</v>
      </c>
      <c r="V31" s="289"/>
    </row>
    <row r="32" spans="1:32" ht="63.75" customHeight="1" thickBot="1" x14ac:dyDescent="0.3">
      <c r="A32" s="1132" t="s">
        <v>1208</v>
      </c>
      <c r="B32" s="102" t="s">
        <v>400</v>
      </c>
      <c r="C32" s="110" t="str">
        <f>VLOOKUP($B32,Activities!$A$10:$P$152,3,FALSE)</f>
        <v>Minor Earthworks to Rehabilitate Drill Pads and other such areas (Generally &lt;500 m2) including scarification of the reformed land area.</v>
      </c>
      <c r="D32" s="239" t="s">
        <v>49</v>
      </c>
      <c r="E32" s="240"/>
      <c r="F32" s="274" t="str">
        <f>VLOOKUP($B32,Activities!$A$10:$P$152,4,FALSE)</f>
        <v>m2</v>
      </c>
      <c r="G32" s="1160"/>
      <c r="H32" s="1161"/>
      <c r="I32" s="817">
        <f>VLOOKUP($B32,Activities!$A$10:$S$152,16,FALSE)</f>
        <v>2.2127571257576353</v>
      </c>
      <c r="J32" s="269"/>
      <c r="K32" s="390">
        <f t="shared" ref="K32" si="6">IF(D32="Y",IF(J32="",I32*E32,J32*E32),0)</f>
        <v>0</v>
      </c>
      <c r="L32" s="248" t="str">
        <f t="shared" ref="L32" si="7">IFERROR(IF(D32="Y",K32/$K$59,0%),"0.0%")</f>
        <v>0.0%</v>
      </c>
      <c r="M32" s="816" t="str">
        <f>VLOOKUP($B32,Activities!$A$10:$S$152,19,FALSE)</f>
        <v>This activity covers the minor earthworks required to rehabilitate exploration drill pads and other minor (&lt;500 m2) in often remote areas separate from the main mining operations and includes scarifying of the area to promote re-vegetation.</v>
      </c>
    </row>
    <row r="33" spans="1:25" ht="55.5" customHeight="1" thickBot="1" x14ac:dyDescent="0.3">
      <c r="A33" s="1133"/>
      <c r="B33" s="102" t="s">
        <v>404</v>
      </c>
      <c r="C33" s="90" t="str">
        <f>VLOOKUP($B33,Activities!$A$10:$P$152,3,FALSE)</f>
        <v>Re-Instatement of Bulk Sample Pits where material needs to be transported from onsite location</v>
      </c>
      <c r="D33" s="239" t="s">
        <v>49</v>
      </c>
      <c r="E33" s="240"/>
      <c r="F33" s="19" t="str">
        <f>VLOOKUP($B33,Activities!$A$10:$P$152,4,FALSE)</f>
        <v>m3</v>
      </c>
      <c r="G33" s="313" t="s">
        <v>1203</v>
      </c>
      <c r="H33" s="879" t="s">
        <v>264</v>
      </c>
      <c r="I33" s="880">
        <f>VLOOKUP(H33,U16:V20,2)</f>
        <v>0</v>
      </c>
      <c r="J33" s="269"/>
      <c r="K33" s="390">
        <f t="shared" ref="K33" si="8">IF(D33="Y",IF(J33="",I33*E33,J33*E33),"")</f>
        <v>0</v>
      </c>
      <c r="L33" s="248" t="str">
        <f>IFERROR(IF(D33="Y",K33/$K$70,0%),"0.0%")</f>
        <v>0.0%</v>
      </c>
      <c r="M33" s="816" t="str">
        <f>VLOOKUP($B33,Activities!$A$10:$S$152,19,FALSE)</f>
        <v>This activity involves the winning of suitable material, transporting the material to the sample pit, spreading the material and reinstatement of the burrow pit.</v>
      </c>
    </row>
    <row r="34" spans="1:25" ht="55.5" customHeight="1" thickBot="1" x14ac:dyDescent="0.3">
      <c r="A34" s="1133"/>
      <c r="B34" s="102" t="s">
        <v>610</v>
      </c>
      <c r="C34" s="110" t="str">
        <f>VLOOKUP($B34,Activities!$A$10:$P$152,3,FALSE)</f>
        <v>Reinstatement of Bulk Sample pits where material is adjacent to pit</v>
      </c>
      <c r="D34" s="239" t="s">
        <v>49</v>
      </c>
      <c r="E34" s="240"/>
      <c r="F34" s="838" t="str">
        <f>VLOOKUP($B34,Activities!$A$10:$P$152,4,FALSE)</f>
        <v>m3</v>
      </c>
      <c r="G34" s="1160"/>
      <c r="H34" s="1161"/>
      <c r="I34" s="817">
        <f>VLOOKUP($B34,Activities!$A$10:$S$152,16,FALSE)</f>
        <v>1.8125039496992175</v>
      </c>
      <c r="J34" s="269"/>
      <c r="K34" s="390">
        <f t="shared" ref="K34:K36" si="9">IF(D34="Y",IF(J34="",I34*E34,J34*E34),0)</f>
        <v>0</v>
      </c>
      <c r="L34" s="248" t="str">
        <f>IFERROR(IF(D34="Y",K34/$K$59,0%),"0.0%")</f>
        <v>0.0%</v>
      </c>
      <c r="M34" s="816" t="str">
        <f>VLOOKUP($B34,Activities!$A$10:$S$152,19,FALSE)</f>
        <v>Activity includes the simple replacement of material into adjacent pit excavated for bulk sample purposes.</v>
      </c>
    </row>
    <row r="35" spans="1:25" ht="55.5" customHeight="1" thickBot="1" x14ac:dyDescent="0.3">
      <c r="A35" s="1133"/>
      <c r="B35" s="102" t="s">
        <v>1254</v>
      </c>
      <c r="C35" s="110" t="str">
        <f>VLOOKUP($B35,Activities!$A$10:$P$152,3,FALSE)</f>
        <v>Purchase and delivery of imported backfill for drillholes where material needs to be transported from an offsite source</v>
      </c>
      <c r="D35" s="239" t="s">
        <v>49</v>
      </c>
      <c r="E35" s="240"/>
      <c r="F35" s="838" t="str">
        <f>VLOOKUP($B35,Activities!$A$10:$P$152,4,FALSE)</f>
        <v>m3</v>
      </c>
      <c r="G35" s="313" t="s">
        <v>1258</v>
      </c>
      <c r="H35" s="879" t="s">
        <v>264</v>
      </c>
      <c r="I35" s="817">
        <f>($Q$4+VLOOKUP(H35,$AA$9:$AB$15,2,FALSE))</f>
        <v>35.200000000000003</v>
      </c>
      <c r="J35" s="269"/>
      <c r="K35" s="390">
        <f t="shared" si="9"/>
        <v>0</v>
      </c>
      <c r="L35" s="248" t="str">
        <f>IFERROR(IF(D35="Y",K35/$K$59,0%),"0.0%")</f>
        <v>0.0%</v>
      </c>
      <c r="M35" s="816" t="str">
        <f>VLOOKUP($B35,Activities!$A$10:$S$152,19,FALSE)</f>
        <v>The activity is applied where material is not avalable onsite for the backfill of drillholes - particularly for diamond drillholes</v>
      </c>
    </row>
    <row r="36" spans="1:25" ht="81.75" customHeight="1" thickBot="1" x14ac:dyDescent="0.3">
      <c r="A36" s="1134"/>
      <c r="B36" s="102" t="s">
        <v>251</v>
      </c>
      <c r="C36" s="110" t="str">
        <f>VLOOKUP($B36,Activities!$A$10:$P$152,3,FALSE)</f>
        <v>Scarification and ripping of Haul and Access Roads</v>
      </c>
      <c r="D36" s="239" t="s">
        <v>49</v>
      </c>
      <c r="E36" s="240"/>
      <c r="F36" s="838" t="str">
        <f>VLOOKUP($B36,Activities!$A$10:$P$152,4,FALSE)</f>
        <v>km</v>
      </c>
      <c r="G36" s="1160"/>
      <c r="H36" s="1161"/>
      <c r="I36" s="817">
        <f>VLOOKUP($B36,Activities!$A$10:$S$152,16,FALSE)</f>
        <v>817.62150792547607</v>
      </c>
      <c r="J36" s="269"/>
      <c r="K36" s="390">
        <f t="shared" si="9"/>
        <v>0</v>
      </c>
      <c r="L36" s="248" t="str">
        <f>IFERROR(IF(D36="Y",K36/$K$59,0%),"0.0%")</f>
        <v>0.0%</v>
      </c>
      <c r="M36" s="816" t="str">
        <f>VLOOKUP($B36,Activities!$A$10:$S$152,19,FALSE)</f>
        <v>This activity is specifically minor shaping and for the scarification and where necessary the deep ripping of Haul and Access roads to allow natural re-vegetation to occurr.   It is appropriate for access roads and tracks of a width of 5 metres and of minimal construction.  (Access to drill locations and minor areas) ( For major constructed haul roads  20m in width use A1039)</v>
      </c>
      <c r="P36" s="277"/>
      <c r="Q36" s="280"/>
      <c r="R36" s="280"/>
      <c r="S36" s="281"/>
      <c r="T36" s="280"/>
      <c r="U36" s="277"/>
      <c r="V36" s="280"/>
    </row>
    <row r="37" spans="1:25" ht="18.75" customHeight="1" thickBot="1" x14ac:dyDescent="0.3">
      <c r="A37" s="21" t="s">
        <v>53</v>
      </c>
      <c r="B37" s="22" t="str">
        <f>A32</f>
        <v>Rehabilitation of Areas disturbed by Exploration Activities  (Including drill pads, costeans, bulk sample pits, pilot shafts and access tracks)</v>
      </c>
      <c r="C37" s="23"/>
      <c r="D37" s="24"/>
      <c r="E37" s="25"/>
      <c r="F37" s="839"/>
      <c r="G37" s="24"/>
      <c r="H37" s="24"/>
      <c r="I37" s="354"/>
      <c r="J37" s="354"/>
      <c r="K37" s="256">
        <f>SUM(K32:K36)</f>
        <v>0</v>
      </c>
      <c r="L37" s="24"/>
      <c r="M37" s="29"/>
      <c r="O37" s="1"/>
      <c r="V37" s="280"/>
    </row>
    <row r="38" spans="1:25" ht="90" customHeight="1" thickBot="1" x14ac:dyDescent="0.3">
      <c r="A38" s="1132" t="s">
        <v>1323</v>
      </c>
      <c r="B38" s="1218" t="s">
        <v>878</v>
      </c>
      <c r="C38" s="1252" t="s">
        <v>1275</v>
      </c>
      <c r="D38" s="1222" t="s">
        <v>49</v>
      </c>
      <c r="E38" s="1214">
        <f>'Exploration Calculations'!C19</f>
        <v>0</v>
      </c>
      <c r="F38" s="1216" t="s">
        <v>1202</v>
      </c>
      <c r="G38" s="1224" t="s">
        <v>1210</v>
      </c>
      <c r="H38" s="842" t="s">
        <v>1211</v>
      </c>
      <c r="I38" s="1226">
        <f>VLOOKUP($B38,Activities!$A$10:$S$152,16,FALSE)*H39+VLOOKUP($P$45,Activities!$A$10:$S$152,16,FALSE)</f>
        <v>56.023647636039257</v>
      </c>
      <c r="J38" s="1228"/>
      <c r="K38" s="1230">
        <f>IF(D38="Y",IF(J38="",I38*E38,J38*E38),"")</f>
        <v>0</v>
      </c>
      <c r="L38" s="1232" t="str">
        <f>IFERROR(IF(D38="Y",K38/$K$76,0%),"0.0%")</f>
        <v>0.0%</v>
      </c>
      <c r="M38" s="1234" t="str">
        <f>VLOOKUP($B38,Activities!$A$10:$S$152,19,FALSE)</f>
        <v>This activity can be applied to drill holes which do not need grouting.  The hole casing is to be  cut off 1 metre below ground level, backfilled with drill cuttings and sealed with a non-degradeable plug.  Remaining cuttings are buried by excavating a small scrape adjacent to the cuttings.  The ground is then reshaped over the hole and scraped to allow natural revegetation of the area and removal of all traces of the hole.  Any and all rubbish is to be removed to an approved dump.</v>
      </c>
      <c r="O38" s="1"/>
      <c r="V38" s="280"/>
    </row>
    <row r="39" spans="1:25" ht="16.5" thickBot="1" x14ac:dyDescent="0.3">
      <c r="A39" s="1133"/>
      <c r="B39" s="1219"/>
      <c r="C39" s="1221"/>
      <c r="D39" s="1223"/>
      <c r="E39" s="1215"/>
      <c r="F39" s="1217" t="e">
        <f>VLOOKUP($B39,Activities!$A$10:$P$152,4,FALSE)</f>
        <v>#N/A</v>
      </c>
      <c r="G39" s="1225"/>
      <c r="H39" s="844">
        <f>'Exploration Calculations'!D19</f>
        <v>0</v>
      </c>
      <c r="I39" s="1227" t="e">
        <f>VLOOKUP($B39,[2]Activities!$A$10:$S$151,16,FALSE)</f>
        <v>#N/A</v>
      </c>
      <c r="J39" s="1229"/>
      <c r="K39" s="1231"/>
      <c r="L39" s="1233"/>
      <c r="M39" s="1235" t="e">
        <f>VLOOKUP($B39,Activities!$A$10:$S$152,19,FALSE)</f>
        <v>#N/A</v>
      </c>
      <c r="V39" s="280"/>
    </row>
    <row r="40" spans="1:25" ht="90" customHeight="1" thickBot="1" x14ac:dyDescent="0.3">
      <c r="A40" s="1133"/>
      <c r="B40" s="1218" t="s">
        <v>1182</v>
      </c>
      <c r="C40" s="1220" t="s">
        <v>1276</v>
      </c>
      <c r="D40" s="1222" t="s">
        <v>49</v>
      </c>
      <c r="E40" s="1214">
        <f>'Exploration Calculations'!F19</f>
        <v>0</v>
      </c>
      <c r="F40" s="1216" t="s">
        <v>1202</v>
      </c>
      <c r="G40" s="1224" t="s">
        <v>1210</v>
      </c>
      <c r="H40" s="842" t="s">
        <v>1211</v>
      </c>
      <c r="I40" s="1226">
        <f>VLOOKUP($B40,Activities!$A$10:$S$151,16,FALSE)*H41+VLOOKUP($P$45,Activities!$A$10:$S$151,16,FALSE)</f>
        <v>56.023647636039257</v>
      </c>
      <c r="J40" s="1236"/>
      <c r="K40" s="1230">
        <f>IF(D40="Y",IF(J40="",I40*E40,J40*E40),"")</f>
        <v>0</v>
      </c>
      <c r="L40" s="1232" t="str">
        <f>IFERROR(IF(D40="Y",K40/$K$76,0%),"0.0%")</f>
        <v>0.0%</v>
      </c>
      <c r="M40" s="1234" t="str">
        <f>VLOOKUP($B40,Activities!$A$10:$S$152,19,FALSE)</f>
        <v>This activity can be applied to drill holes which do not need grouting.  The hole casing is to be  cut off 1 metre below ground level, backfilled with drill cuttings and sealed with a non-degradeable plug.  Remaining cuttings are buried by excavating a small scrape adjacent to the cuttings.  The ground is then reshaped over the hole and scraped to allow natural revegetation of the area and removal of all traces of the hole.  Any and all rubbish is to be removed to an approved dump.</v>
      </c>
      <c r="V40" s="280"/>
    </row>
    <row r="41" spans="1:25" ht="24" customHeight="1" thickBot="1" x14ac:dyDescent="0.3">
      <c r="A41" s="1133"/>
      <c r="B41" s="1219"/>
      <c r="C41" s="1221"/>
      <c r="D41" s="1223"/>
      <c r="E41" s="1215"/>
      <c r="F41" s="1217" t="e">
        <f>VLOOKUP($B41,Activities!$A$10:$P$152,4,FALSE)</f>
        <v>#N/A</v>
      </c>
      <c r="G41" s="1225"/>
      <c r="H41" s="844">
        <f>'Exploration Calculations'!G19</f>
        <v>0</v>
      </c>
      <c r="I41" s="1227" t="e">
        <f>VLOOKUP($B41,[2]Activities!$A$10:$S$151,16,FALSE)</f>
        <v>#N/A</v>
      </c>
      <c r="J41" s="1237"/>
      <c r="K41" s="1231"/>
      <c r="L41" s="1233"/>
      <c r="M41" s="1235" t="e">
        <f>VLOOKUP($B41,Activities!$A$10:$S$152,19,FALSE)</f>
        <v>#N/A</v>
      </c>
      <c r="P41" s="277"/>
      <c r="Q41" s="280"/>
      <c r="R41" s="280"/>
      <c r="S41" s="281"/>
      <c r="T41" s="280"/>
      <c r="U41" s="277"/>
      <c r="V41" s="280"/>
    </row>
    <row r="42" spans="1:25" ht="90" customHeight="1" thickBot="1" x14ac:dyDescent="0.3">
      <c r="A42" s="1133"/>
      <c r="B42" s="1218" t="s">
        <v>1183</v>
      </c>
      <c r="C42" s="1220" t="s">
        <v>1277</v>
      </c>
      <c r="D42" s="1222" t="s">
        <v>49</v>
      </c>
      <c r="E42" s="1214">
        <f>'Exploration Calculations'!I19</f>
        <v>0</v>
      </c>
      <c r="F42" s="1216" t="s">
        <v>1202</v>
      </c>
      <c r="G42" s="1224" t="s">
        <v>1210</v>
      </c>
      <c r="H42" s="842" t="s">
        <v>1211</v>
      </c>
      <c r="I42" s="1226">
        <f>VLOOKUP($B42,Activities!$A$10:$S$151,16,FALSE)*H43+VLOOKUP($P$45,Activities!$A$10:$S$151,16,FALSE)</f>
        <v>56.023647636039257</v>
      </c>
      <c r="J42" s="1236"/>
      <c r="K42" s="1230">
        <f>IF(D42="Y",IF(J42="",I42*E42,J42*E42),"")</f>
        <v>0</v>
      </c>
      <c r="L42" s="1232" t="str">
        <f>IFERROR(IF(D42="Y",K42/$K$76,0%),"0.0%")</f>
        <v>0.0%</v>
      </c>
      <c r="M42" s="1234" t="str">
        <f>VLOOKUP($B42,Activities!$A$10:$S$152,19,FALSE)</f>
        <v>This activity can be applied to drill holes which do not need grouting.  The hole casing is to be  cut off 1 metre below ground level, backfilled with drill cuttings and sealed with a non-degradeable plug.  Remaining cuttings are buried by excavating a small scrape adjacent to the cuttings.  The ground is then reshaped over the hole and scraped to allow natural revegetation of the area and removal of all traces of the hole.  Any and all rubbish is to be removed to an approved dump.</v>
      </c>
      <c r="P42" s="277"/>
      <c r="Q42" s="280"/>
      <c r="R42" s="280"/>
      <c r="S42" s="281"/>
      <c r="T42" s="280"/>
      <c r="U42" s="277"/>
      <c r="V42" s="280"/>
    </row>
    <row r="43" spans="1:25" ht="24" customHeight="1" thickBot="1" x14ac:dyDescent="0.3">
      <c r="A43" s="1133"/>
      <c r="B43" s="1219"/>
      <c r="C43" s="1221"/>
      <c r="D43" s="1223"/>
      <c r="E43" s="1215"/>
      <c r="F43" s="1217" t="e">
        <f>VLOOKUP($B43,Activities!$A$10:$P$152,4,FALSE)</f>
        <v>#N/A</v>
      </c>
      <c r="G43" s="1225"/>
      <c r="H43" s="844">
        <f>'Exploration Calculations'!J19</f>
        <v>0</v>
      </c>
      <c r="I43" s="1227" t="e">
        <f>VLOOKUP($B43,[2]Activities!$A$10:$S$151,16,FALSE)</f>
        <v>#N/A</v>
      </c>
      <c r="J43" s="1237"/>
      <c r="K43" s="1231"/>
      <c r="L43" s="1233"/>
      <c r="M43" s="1235" t="e">
        <f>VLOOKUP($B43,Activities!$A$10:$S$152,19,FALSE)</f>
        <v>#N/A</v>
      </c>
      <c r="P43" s="277"/>
      <c r="Q43" s="277"/>
      <c r="R43" s="277"/>
      <c r="S43" s="277"/>
      <c r="T43" s="277"/>
      <c r="U43" s="277"/>
      <c r="V43" s="280"/>
    </row>
    <row r="44" spans="1:25" ht="90" customHeight="1" thickBot="1" x14ac:dyDescent="0.3">
      <c r="A44" s="1133"/>
      <c r="B44" s="1218" t="s">
        <v>1184</v>
      </c>
      <c r="C44" s="1220" t="s">
        <v>1278</v>
      </c>
      <c r="D44" s="1222" t="s">
        <v>49</v>
      </c>
      <c r="E44" s="1214">
        <f>'Exploration Calculations'!L19</f>
        <v>0</v>
      </c>
      <c r="F44" s="1216" t="s">
        <v>1202</v>
      </c>
      <c r="G44" s="1224" t="s">
        <v>1210</v>
      </c>
      <c r="H44" s="842" t="s">
        <v>1211</v>
      </c>
      <c r="I44" s="1226">
        <f>VLOOKUP($B44,Activities!$A$10:$S$151,16,FALSE)*H45+VLOOKUP($P$45,Activities!$A$10:$S$151,16,FALSE)</f>
        <v>56.023647636039257</v>
      </c>
      <c r="J44" s="1236"/>
      <c r="K44" s="1230">
        <f>IF(D44="Y",IF(J44="",I44*E44,J44*E44),"")</f>
        <v>0</v>
      </c>
      <c r="L44" s="1232" t="str">
        <f>IFERROR(IF(D44="Y",K44/$K$76,0%),"0.0%")</f>
        <v>0.0%</v>
      </c>
      <c r="M44" s="1234" t="str">
        <f>VLOOKUP($B44,Activities!$A$10:$S$152,19,FALSE)</f>
        <v>This activity can be applied to drill holes which do not need grouting.  The hole casing is to be  cut off 1 metre below ground level, backfilled with drill cuttings and sealed with a non-degradeable plug.  Remaining cuttings are buried by excavating a small scrape adjacent to the cuttings.  The ground is then reshaped over the hole and scraped to allow natural revegetation of the area and removal of all traces of the hole.  Any and all rubbish is to be removed to an approved dump.</v>
      </c>
      <c r="P44" s="1"/>
      <c r="Q44" s="1"/>
      <c r="R44" s="1"/>
      <c r="S44" s="1"/>
    </row>
    <row r="45" spans="1:25" ht="24" customHeight="1" thickBot="1" x14ac:dyDescent="0.3">
      <c r="A45" s="1133"/>
      <c r="B45" s="1219"/>
      <c r="C45" s="1221"/>
      <c r="D45" s="1223"/>
      <c r="E45" s="1215"/>
      <c r="F45" s="1217" t="e">
        <f>VLOOKUP($B45,Activities!$A$10:$P$152,4,FALSE)</f>
        <v>#N/A</v>
      </c>
      <c r="G45" s="1225"/>
      <c r="H45" s="844">
        <f>'Exploration Calculations'!M19</f>
        <v>0</v>
      </c>
      <c r="I45" s="1227" t="e">
        <f>VLOOKUP($B45,[2]Activities!$A$10:$S$151,16,FALSE)</f>
        <v>#N/A</v>
      </c>
      <c r="J45" s="1237"/>
      <c r="K45" s="1231"/>
      <c r="L45" s="1233"/>
      <c r="M45" s="1235" t="e">
        <f>VLOOKUP($B45,Activities!$A$10:$S$152,19,FALSE)</f>
        <v>#N/A</v>
      </c>
      <c r="P45" s="843" t="s">
        <v>877</v>
      </c>
      <c r="Q45" t="s">
        <v>1187</v>
      </c>
      <c r="R45" s="280"/>
      <c r="S45" s="281"/>
      <c r="T45" s="280"/>
      <c r="U45" s="277"/>
      <c r="X45" s="819"/>
      <c r="Y45" s="819"/>
    </row>
    <row r="46" spans="1:25" ht="90" customHeight="1" thickBot="1" x14ac:dyDescent="0.3">
      <c r="A46" s="1133"/>
      <c r="B46" s="1218" t="s">
        <v>1185</v>
      </c>
      <c r="C46" s="1220" t="s">
        <v>1279</v>
      </c>
      <c r="D46" s="1222" t="s">
        <v>49</v>
      </c>
      <c r="E46" s="1214">
        <f>'Exploration Calculations'!O19</f>
        <v>0</v>
      </c>
      <c r="F46" s="1216" t="s">
        <v>1202</v>
      </c>
      <c r="G46" s="1224" t="s">
        <v>1210</v>
      </c>
      <c r="H46" s="842" t="s">
        <v>1211</v>
      </c>
      <c r="I46" s="1226">
        <f>VLOOKUP($B46,Activities!$A$10:$S$151,16,FALSE)*H47+VLOOKUP($P$45,Activities!$A$10:$S$151,16,FALSE)</f>
        <v>56.023647636039257</v>
      </c>
      <c r="J46" s="1236"/>
      <c r="K46" s="1230">
        <f>IF(D46="Y",IF(J46="",I46*E46,J46*E46),"")</f>
        <v>0</v>
      </c>
      <c r="L46" s="1232" t="str">
        <f>IFERROR(IF(D46="Y",K46/$K$76,0%),"0.0%")</f>
        <v>0.0%</v>
      </c>
      <c r="M46" s="1234" t="str">
        <f>VLOOKUP($B46,Activities!$A$10:$S$152,19,FALSE)</f>
        <v>This activity can be applied to drill holes which do not need grouting.  The hole casing is to be  cut off 1 metre below ground level, backfilled with drill cuttings and sealed with a non-degradeable plug.  Remaining cuttings are buried by excavating a small scrape adjacent to the cuttings.  The ground is then reshaped over the hole and scraped to allow natural revegetation of the area and removal of all traces of the hole.  Any and all rubbish is to be removed to an approved dump.</v>
      </c>
      <c r="P46" s="845" t="s">
        <v>1212</v>
      </c>
      <c r="R46" s="280"/>
      <c r="S46" s="281"/>
      <c r="T46" s="280"/>
      <c r="U46" s="277"/>
      <c r="V46" s="279"/>
      <c r="W46" s="819"/>
    </row>
    <row r="47" spans="1:25" ht="24" customHeight="1" thickBot="1" x14ac:dyDescent="0.3">
      <c r="A47" s="1133"/>
      <c r="B47" s="1219"/>
      <c r="C47" s="1221"/>
      <c r="D47" s="1223"/>
      <c r="E47" s="1215"/>
      <c r="F47" s="1217" t="e">
        <f>VLOOKUP($B47,Activities!$A$10:$P$152,4,FALSE)</f>
        <v>#N/A</v>
      </c>
      <c r="G47" s="1225"/>
      <c r="H47" s="844">
        <f>'Exploration Calculations'!P19</f>
        <v>0</v>
      </c>
      <c r="I47" s="1227" t="e">
        <f>VLOOKUP($B47,[2]Activities!$A$10:$S$151,16,FALSE)</f>
        <v>#N/A</v>
      </c>
      <c r="J47" s="1237"/>
      <c r="K47" s="1231"/>
      <c r="L47" s="1233"/>
      <c r="M47" s="1235" t="e">
        <f>VLOOKUP($B47,Activities!$A$10:$S$152,19,FALSE)</f>
        <v>#N/A</v>
      </c>
      <c r="P47" s="843" t="s">
        <v>1249</v>
      </c>
      <c r="Q47" t="s">
        <v>1248</v>
      </c>
      <c r="R47" s="280"/>
      <c r="S47" s="281"/>
      <c r="T47" s="280"/>
      <c r="U47" s="277"/>
      <c r="V47" s="280"/>
    </row>
    <row r="48" spans="1:25" ht="89.25" customHeight="1" thickBot="1" x14ac:dyDescent="0.3">
      <c r="A48" s="1133"/>
      <c r="B48" s="1218" t="s">
        <v>1186</v>
      </c>
      <c r="C48" s="1220" t="s">
        <v>1280</v>
      </c>
      <c r="D48" s="1222" t="s">
        <v>49</v>
      </c>
      <c r="E48" s="1214">
        <f>'Exploration Calculations'!R19</f>
        <v>0</v>
      </c>
      <c r="F48" s="1216" t="s">
        <v>1202</v>
      </c>
      <c r="G48" s="1224" t="s">
        <v>1210</v>
      </c>
      <c r="H48" s="842" t="s">
        <v>1211</v>
      </c>
      <c r="I48" s="1226">
        <f>VLOOKUP($B48,Activities!$A$10:$S$151,16,FALSE)*H49+VLOOKUP($P$45,Activities!$A$10:$S$151,16,FALSE)</f>
        <v>56.023647636039257</v>
      </c>
      <c r="J48" s="1236"/>
      <c r="K48" s="1230">
        <f>IF(D48="Y",IF(J48="",I48*E48,J48*E48),"")</f>
        <v>0</v>
      </c>
      <c r="L48" s="1232" t="str">
        <f>IFERROR(IF(D48="Y",K48/$K$76,0%),"0.0%")</f>
        <v>0.0%</v>
      </c>
      <c r="M48" s="1234" t="str">
        <f>VLOOKUP($B48,Activities!$A$10:$S$152,19,FALSE)</f>
        <v>This activity can be applied to drill holes which do not need grouting.  The hole casing is to be  cut off 1 metre below ground level, backfilled with drill cuttings and sealed with a non-degradeable plug.  Remaining cuttings are buried by excavating a small scrape adjacent to the cuttings.  The ground is then reshaped over the hole and scraped to allow natural revegetation of the area and removal of all traces of the hole.  Any and all rubbish is to be removed to an approved dump.</v>
      </c>
      <c r="P48" s="845" t="s">
        <v>1212</v>
      </c>
      <c r="R48" s="280"/>
      <c r="S48" s="281"/>
      <c r="T48" s="280"/>
      <c r="U48" s="277"/>
      <c r="V48" s="280"/>
    </row>
    <row r="49" spans="1:29" ht="24" customHeight="1" thickBot="1" x14ac:dyDescent="0.3">
      <c r="A49" s="1134"/>
      <c r="B49" s="1219"/>
      <c r="C49" s="1221"/>
      <c r="D49" s="1223"/>
      <c r="E49" s="1215"/>
      <c r="F49" s="1217" t="e">
        <f>VLOOKUP($B49,Activities!$A$10:$P$152,4,FALSE)</f>
        <v>#N/A</v>
      </c>
      <c r="G49" s="1225"/>
      <c r="H49" s="844">
        <f>'Exploration Calculations'!S19</f>
        <v>0</v>
      </c>
      <c r="I49" s="1227" t="e">
        <f>VLOOKUP($B49,[2]Activities!$A$10:$S$151,16,FALSE)</f>
        <v>#N/A</v>
      </c>
      <c r="J49" s="1237"/>
      <c r="K49" s="1231"/>
      <c r="L49" s="1233"/>
      <c r="M49" s="1235" t="e">
        <f>VLOOKUP($B49,Activities!$A$10:$S$152,19,FALSE)</f>
        <v>#N/A</v>
      </c>
      <c r="P49" s="277"/>
      <c r="Q49" s="280"/>
      <c r="R49" s="280"/>
      <c r="S49" s="281"/>
      <c r="T49" s="280"/>
      <c r="U49" s="277"/>
      <c r="V49" s="280"/>
    </row>
    <row r="50" spans="1:29" ht="16.5" thickBot="1" x14ac:dyDescent="0.3">
      <c r="A50" s="21" t="s">
        <v>53</v>
      </c>
      <c r="B50" s="22" t="str">
        <f>A38</f>
        <v>Rehabilitation of Drill Holes in Unconfined Rock
(See "Exploration Calc Explanation" Worksheet for Method)</v>
      </c>
      <c r="C50" s="23"/>
      <c r="D50" s="24"/>
      <c r="E50" s="25"/>
      <c r="F50" s="839"/>
      <c r="G50" s="24"/>
      <c r="H50" s="24"/>
      <c r="I50" s="354"/>
      <c r="J50" s="354"/>
      <c r="K50" s="256">
        <f>SUM(K38:K49)</f>
        <v>0</v>
      </c>
      <c r="L50" s="24"/>
      <c r="M50" s="29"/>
      <c r="P50" s="846" t="s">
        <v>1213</v>
      </c>
      <c r="Q50" t="s">
        <v>1247</v>
      </c>
      <c r="R50" s="280"/>
      <c r="S50" s="281"/>
      <c r="T50" s="280"/>
      <c r="U50" s="277"/>
      <c r="V50" s="280"/>
    </row>
    <row r="51" spans="1:29" ht="88.5" customHeight="1" thickBot="1" x14ac:dyDescent="0.3">
      <c r="A51" s="1132" t="s">
        <v>1322</v>
      </c>
      <c r="B51" s="1218" t="s">
        <v>878</v>
      </c>
      <c r="C51" s="1220" t="s">
        <v>1281</v>
      </c>
      <c r="D51" s="1222" t="s">
        <v>49</v>
      </c>
      <c r="E51" s="1214">
        <f>'Exploration Calculations'!C38</f>
        <v>0</v>
      </c>
      <c r="F51" s="1216" t="s">
        <v>1202</v>
      </c>
      <c r="G51" s="1224" t="s">
        <v>1210</v>
      </c>
      <c r="H51" s="842" t="s">
        <v>1211</v>
      </c>
      <c r="I51" s="1255">
        <f>VLOOKUP($B51,Activities!$A$10:$S$152,16,FALSE)*H52+VLOOKUP($P$45,Activities!$A$10:$S$152,16,FALSE)</f>
        <v>56.023647636039257</v>
      </c>
      <c r="J51" s="1236"/>
      <c r="K51" s="1230">
        <f>IF(D51="Y",IF(J51="",I51*E51,J51*E51),"")</f>
        <v>0</v>
      </c>
      <c r="L51" s="1232" t="str">
        <f>IFERROR(IF(D51="Y",K51/$K$76,0%),"0.0%")</f>
        <v>0.0%</v>
      </c>
      <c r="M51" s="1234" t="str">
        <f>VLOOKUP($B51,Activities!$A$10:$S$152,19,FALSE)</f>
        <v>This activity can be applied to drill holes which do not need grouting.  The hole casing is to be  cut off 1 metre below ground level, backfilled with drill cuttings and sealed with a non-degradeable plug.  Remaining cuttings are buried by excavating a small scrape adjacent to the cuttings.  The ground is then reshaped over the hole and scraped to allow natural revegetation of the area and removal of all traces of the hole.  Any and all rubbish is to be removed to an approved dump.</v>
      </c>
      <c r="O51" s="116"/>
      <c r="P51" s="845" t="s">
        <v>1212</v>
      </c>
      <c r="Q51" s="277"/>
      <c r="R51" s="277"/>
      <c r="S51" s="277"/>
      <c r="T51" s="277"/>
      <c r="U51" s="277"/>
      <c r="V51" s="280"/>
    </row>
    <row r="52" spans="1:29" ht="23.25" customHeight="1" thickBot="1" x14ac:dyDescent="0.3">
      <c r="A52" s="1133"/>
      <c r="B52" s="1238"/>
      <c r="C52" s="1239"/>
      <c r="D52" s="1240"/>
      <c r="E52" s="1241"/>
      <c r="F52" s="1253" t="e">
        <f>VLOOKUP($B52,Activities!$A$10:$P$152,4,FALSE)</f>
        <v>#N/A</v>
      </c>
      <c r="G52" s="1254"/>
      <c r="H52" s="844">
        <f>'Exploration Calculations'!D38</f>
        <v>0</v>
      </c>
      <c r="I52" s="1250" t="e">
        <f>VLOOKUP($B52,[2]Activities!$A$10:$S$151,16,FALSE)</f>
        <v>#N/A</v>
      </c>
      <c r="J52" s="1256"/>
      <c r="K52" s="1257"/>
      <c r="L52" s="1258"/>
      <c r="M52" s="1242" t="e">
        <f>VLOOKUP($B52,Activities!$A$10:$S$152,19,FALSE)</f>
        <v>#N/A</v>
      </c>
      <c r="O52" s="116"/>
    </row>
    <row r="53" spans="1:29" ht="84.75" customHeight="1" thickBot="1" x14ac:dyDescent="0.3">
      <c r="A53" s="1133"/>
      <c r="B53" s="1243" t="s">
        <v>1189</v>
      </c>
      <c r="C53" s="1244" t="s">
        <v>1282</v>
      </c>
      <c r="D53" s="1245" t="s">
        <v>49</v>
      </c>
      <c r="E53" s="1246">
        <f>'Exploration Calculations'!C53</f>
        <v>0</v>
      </c>
      <c r="F53" s="1247" t="s">
        <v>1202</v>
      </c>
      <c r="G53" s="1248" t="s">
        <v>1210</v>
      </c>
      <c r="H53" s="842" t="s">
        <v>1211</v>
      </c>
      <c r="I53" s="1250">
        <f>(SUM(W$56:W$59)/60+H54/S60)*VLOOKUP($P$50,Activities!$A$10:$Q$152,16,FALSE)+VLOOKUP($B53,Activities!$A$10:$Q$152,16,FALSE)*H54/100</f>
        <v>128.37504740319471</v>
      </c>
      <c r="J53" s="1265"/>
      <c r="K53" s="1267">
        <f>IF(D53="Y",IF(J53="",I53*E53+'Exploration Calculations'!D54*E53*VLOOKUP($P$47,Activities!$A$10:$Q$152,16,FALSE),J53*E53+'Exploration Calculations'!D54*E53*VLOOKUP($P$47,Activities!$A$10:$Q$152,16,FALSE)),"")</f>
        <v>0</v>
      </c>
      <c r="L53" s="1259"/>
      <c r="M53" s="1263" t="s">
        <v>1195</v>
      </c>
      <c r="O53" s="116"/>
      <c r="P53" s="10" t="s">
        <v>1261</v>
      </c>
      <c r="Q53" s="11"/>
      <c r="R53" s="11"/>
      <c r="S53" s="12"/>
      <c r="U53" s="10" t="s">
        <v>1214</v>
      </c>
      <c r="V53" s="11"/>
      <c r="W53" s="12"/>
      <c r="X53" s="820"/>
      <c r="Y53" s="820"/>
    </row>
    <row r="54" spans="1:29" ht="24" customHeight="1" thickBot="1" x14ac:dyDescent="0.3">
      <c r="A54" s="1133"/>
      <c r="B54" s="1219"/>
      <c r="C54" s="1221"/>
      <c r="D54" s="1223"/>
      <c r="E54" s="1215"/>
      <c r="F54" s="1217" t="e">
        <f>VLOOKUP($B54,Activities!$A$10:$P$152,4,FALSE)</f>
        <v>#N/A</v>
      </c>
      <c r="G54" s="1249"/>
      <c r="H54" s="844">
        <f>'Exploration Calculations'!D53</f>
        <v>0</v>
      </c>
      <c r="I54" s="1251" t="e">
        <f>VLOOKUP($B54,[2]Activities!$A$10:$S$151,16,FALSE)</f>
        <v>#N/A</v>
      </c>
      <c r="J54" s="1266"/>
      <c r="K54" s="1268"/>
      <c r="L54" s="1260"/>
      <c r="M54" s="1264"/>
      <c r="O54" s="116"/>
      <c r="P54" s="13" t="s">
        <v>1215</v>
      </c>
      <c r="Q54" t="s">
        <v>1216</v>
      </c>
      <c r="R54" t="s">
        <v>1217</v>
      </c>
      <c r="S54" s="16" t="s">
        <v>1218</v>
      </c>
      <c r="U54" s="13"/>
      <c r="V54" s="15"/>
      <c r="W54" s="16" t="s">
        <v>1219</v>
      </c>
    </row>
    <row r="55" spans="1:29" ht="74.25" customHeight="1" thickBot="1" x14ac:dyDescent="0.3">
      <c r="A55" s="1133"/>
      <c r="B55" s="1218" t="s">
        <v>1182</v>
      </c>
      <c r="C55" s="1220" t="s">
        <v>1283</v>
      </c>
      <c r="D55" s="1222" t="s">
        <v>49</v>
      </c>
      <c r="E55" s="1214">
        <f>'Exploration Calculations'!F38</f>
        <v>0</v>
      </c>
      <c r="F55" s="1216" t="s">
        <v>1202</v>
      </c>
      <c r="G55" s="1224" t="s">
        <v>1210</v>
      </c>
      <c r="H55" s="842" t="s">
        <v>1211</v>
      </c>
      <c r="I55" s="1255">
        <f>VLOOKUP($B55,Activities!$A$10:$S$152,16,FALSE)*H56+VLOOKUP($P$45,Activities!$A$10:$S$152,16,FALSE)</f>
        <v>56.023647636039257</v>
      </c>
      <c r="J55" s="1236"/>
      <c r="K55" s="1230">
        <f>IF(D55="Y",IF(J55="",I55*E55,J55*E55),"")</f>
        <v>0</v>
      </c>
      <c r="L55" s="1232"/>
      <c r="M55" s="1234" t="str">
        <f>VLOOKUP($B55,Activities!$A$10:$S$152,19,FALSE)</f>
        <v>This activity can be applied to drill holes which do not need grouting.  The hole casing is to be  cut off 1 metre below ground level, backfilled with drill cuttings and sealed with a non-degradeable plug.  Remaining cuttings are buried by excavating a small scrape adjacent to the cuttings.  The ground is then reshaped over the hole and scraped to allow natural revegetation of the area and removal of all traces of the hole.  Any and all rubbish is to be removed to an approved dump.</v>
      </c>
      <c r="O55" s="116"/>
      <c r="P55" s="851">
        <v>7.4999999999999997E-2</v>
      </c>
      <c r="Q55" s="852">
        <f>AB59</f>
        <v>4.2698412698412694E-2</v>
      </c>
      <c r="R55" s="853">
        <f>4*Q55/(22/7*P55*P55)</f>
        <v>9.6610549943883264</v>
      </c>
      <c r="S55" s="854">
        <f t="shared" ref="S55:S60" si="10">60/W$60*R55</f>
        <v>115.93265993265992</v>
      </c>
      <c r="U55" s="13"/>
      <c r="V55" s="15"/>
      <c r="W55" s="855" t="s">
        <v>1222</v>
      </c>
      <c r="Y55" s="847" t="s">
        <v>1220</v>
      </c>
      <c r="Z55" s="848"/>
      <c r="AA55" s="849"/>
      <c r="AB55" s="850"/>
    </row>
    <row r="56" spans="1:29" ht="24" customHeight="1" thickBot="1" x14ac:dyDescent="0.3">
      <c r="A56" s="1133"/>
      <c r="B56" s="1238"/>
      <c r="C56" s="1239"/>
      <c r="D56" s="1240"/>
      <c r="E56" s="1241"/>
      <c r="F56" s="1253" t="e">
        <f>VLOOKUP($B56,Activities!$A$10:$P$152,4,FALSE)</f>
        <v>#N/A</v>
      </c>
      <c r="G56" s="1254"/>
      <c r="H56" s="844">
        <f>'Exploration Calculations'!G38</f>
        <v>0</v>
      </c>
      <c r="I56" s="1250" t="e">
        <f>VLOOKUP($B56,[2]Activities!$A$10:$S$151,16,FALSE)</f>
        <v>#N/A</v>
      </c>
      <c r="J56" s="1256"/>
      <c r="K56" s="1257"/>
      <c r="L56" s="1258"/>
      <c r="M56" s="1242" t="e">
        <f>VLOOKUP($B56,Activities!$A$10:$S$152,19,FALSE)</f>
        <v>#N/A</v>
      </c>
      <c r="O56" s="116"/>
      <c r="P56" s="851">
        <v>0.1</v>
      </c>
      <c r="Q56" s="852">
        <f>Q55</f>
        <v>4.2698412698412694E-2</v>
      </c>
      <c r="R56" s="853">
        <f t="shared" ref="R56:R60" si="11">4*Q56/(22/7*P56*P56)</f>
        <v>5.4343434343434334</v>
      </c>
      <c r="S56" s="854">
        <f t="shared" si="10"/>
        <v>65.212121212121204</v>
      </c>
      <c r="U56" s="13" t="s">
        <v>1221</v>
      </c>
      <c r="V56" s="15"/>
      <c r="W56" s="859">
        <v>15</v>
      </c>
      <c r="Y56" s="856"/>
      <c r="Z56" s="857" t="s">
        <v>1223</v>
      </c>
      <c r="AA56" s="857" t="s">
        <v>1224</v>
      </c>
      <c r="AB56" s="858" t="s">
        <v>649</v>
      </c>
      <c r="AC56" s="857"/>
    </row>
    <row r="57" spans="1:29" ht="64.5" thickBot="1" x14ac:dyDescent="0.3">
      <c r="A57" s="1133"/>
      <c r="B57" s="1243" t="s">
        <v>1190</v>
      </c>
      <c r="C57" s="1244" t="s">
        <v>1284</v>
      </c>
      <c r="D57" s="1245" t="s">
        <v>49</v>
      </c>
      <c r="E57" s="1246">
        <f>'Exploration Calculations'!F53</f>
        <v>0</v>
      </c>
      <c r="F57" s="1247" t="s">
        <v>1202</v>
      </c>
      <c r="G57" s="1248" t="s">
        <v>1210</v>
      </c>
      <c r="H57" s="842" t="s">
        <v>1211</v>
      </c>
      <c r="I57" s="1250">
        <f>(SUM(W$56:W$59)/60+H58/S59)*VLOOKUP($P$50,Activities!$A$10:$Q$152,16,FALSE)+VLOOKUP($B57,Activities!$A$10:$Q$152,16,FALSE)*H58/100</f>
        <v>128.37504740319471</v>
      </c>
      <c r="J57" s="1265"/>
      <c r="K57" s="1267">
        <f>IF(D57="Y",IF(J57="",I57*E57+'Exploration Calculations'!G54*E57*VLOOKUP($P$47,Activities!$A$10:$Q$152,16,FALSE),J57*E57+'Exploration Calculations'!G54*E57*VLOOKUP($P$47,Activities!$A$10:$Q$152,16,FALSE)),"")</f>
        <v>0</v>
      </c>
      <c r="L57" s="1259"/>
      <c r="M57" s="1263" t="s">
        <v>1195</v>
      </c>
      <c r="O57" s="116"/>
      <c r="P57" s="851">
        <v>0.125</v>
      </c>
      <c r="Q57" s="852">
        <f t="shared" ref="Q57:Q60" si="12">Q56</f>
        <v>4.2698412698412694E-2</v>
      </c>
      <c r="R57" s="853">
        <f t="shared" si="11"/>
        <v>3.4779797979797977</v>
      </c>
      <c r="S57" s="854">
        <f t="shared" si="10"/>
        <v>41.735757575757575</v>
      </c>
      <c r="U57" s="13" t="s">
        <v>1225</v>
      </c>
      <c r="V57" s="15"/>
      <c r="W57" s="859">
        <v>5</v>
      </c>
      <c r="Y57" s="860" t="s">
        <v>1226</v>
      </c>
      <c r="Z57">
        <v>3150</v>
      </c>
      <c r="AA57">
        <v>40</v>
      </c>
      <c r="AB57" s="861">
        <f>AA57/Z57</f>
        <v>1.2698412698412698E-2</v>
      </c>
    </row>
    <row r="58" spans="1:29" ht="24" customHeight="1" thickBot="1" x14ac:dyDescent="0.3">
      <c r="A58" s="1133"/>
      <c r="B58" s="1219"/>
      <c r="C58" s="1221"/>
      <c r="D58" s="1223"/>
      <c r="E58" s="1215"/>
      <c r="F58" s="1217" t="e">
        <f>VLOOKUP($B58,Activities!$A$10:$P$152,4,FALSE)</f>
        <v>#N/A</v>
      </c>
      <c r="G58" s="1249"/>
      <c r="H58" s="844">
        <f>'Exploration Calculations'!G53</f>
        <v>0</v>
      </c>
      <c r="I58" s="1251" t="e">
        <f>VLOOKUP($B58,[2]Activities!$A$10:$S$151,16,FALSE)</f>
        <v>#N/A</v>
      </c>
      <c r="J58" s="1266"/>
      <c r="K58" s="1268"/>
      <c r="L58" s="1260"/>
      <c r="M58" s="1264"/>
      <c r="O58" s="116"/>
      <c r="P58" s="851">
        <v>0.14000000000000001</v>
      </c>
      <c r="Q58" s="852">
        <f t="shared" si="12"/>
        <v>4.2698412698412694E-2</v>
      </c>
      <c r="R58" s="853">
        <f t="shared" si="11"/>
        <v>2.7726242011956286</v>
      </c>
      <c r="S58" s="854">
        <f t="shared" si="10"/>
        <v>33.271490414347539</v>
      </c>
      <c r="U58" s="13" t="s">
        <v>1227</v>
      </c>
      <c r="V58" s="15"/>
      <c r="W58" s="859">
        <v>5</v>
      </c>
      <c r="Y58" s="860" t="s">
        <v>1228</v>
      </c>
      <c r="Z58" s="862">
        <v>1000</v>
      </c>
      <c r="AA58">
        <v>30</v>
      </c>
      <c r="AB58" s="863">
        <f t="shared" ref="AB58" si="13">AA58/Z58</f>
        <v>0.03</v>
      </c>
    </row>
    <row r="59" spans="1:29" ht="74.25" customHeight="1" thickBot="1" x14ac:dyDescent="0.3">
      <c r="A59" s="1133"/>
      <c r="B59" s="1218" t="s">
        <v>1183</v>
      </c>
      <c r="C59" s="1220" t="s">
        <v>1285</v>
      </c>
      <c r="D59" s="1222" t="s">
        <v>49</v>
      </c>
      <c r="E59" s="1214">
        <f>'Exploration Calculations'!I38</f>
        <v>0</v>
      </c>
      <c r="F59" s="1216" t="s">
        <v>1202</v>
      </c>
      <c r="G59" s="1224" t="s">
        <v>1210</v>
      </c>
      <c r="H59" s="842" t="s">
        <v>1211</v>
      </c>
      <c r="I59" s="1255">
        <f>VLOOKUP($B59,Activities!$A$10:$S$152,16,FALSE)*H60+VLOOKUP($P$45,Activities!$A$10:$S$152,16,FALSE)</f>
        <v>56.023647636039257</v>
      </c>
      <c r="J59" s="1236"/>
      <c r="K59" s="1230">
        <f>IF(D59="Y",IF(J59="",I59*E59,J59*E59),"")</f>
        <v>0</v>
      </c>
      <c r="L59" s="1232"/>
      <c r="M59" s="1234" t="str">
        <f>VLOOKUP($B59,Activities!$A$10:$S$152,19,FALSE)</f>
        <v>This activity can be applied to drill holes which do not need grouting.  The hole casing is to be  cut off 1 metre below ground level, backfilled with drill cuttings and sealed with a non-degradeable plug.  Remaining cuttings are buried by excavating a small scrape adjacent to the cuttings.  The ground is then reshaped over the hole and scraped to allow natural revegetation of the area and removal of all traces of the hole.  Any and all rubbish is to be removed to an approved dump.</v>
      </c>
      <c r="O59" s="116"/>
      <c r="P59" s="851">
        <v>0.2</v>
      </c>
      <c r="Q59" s="852">
        <f t="shared" si="12"/>
        <v>4.2698412698412694E-2</v>
      </c>
      <c r="R59" s="853">
        <f t="shared" si="11"/>
        <v>1.3585858585858583</v>
      </c>
      <c r="S59" s="854">
        <f t="shared" si="10"/>
        <v>16.303030303030301</v>
      </c>
      <c r="U59" s="13" t="s">
        <v>1229</v>
      </c>
      <c r="V59" s="15"/>
      <c r="W59" s="859">
        <v>5</v>
      </c>
      <c r="Y59" s="864"/>
      <c r="Z59" s="865"/>
      <c r="AA59" s="865">
        <f>SUM(AA57:AA58)</f>
        <v>70</v>
      </c>
      <c r="AB59" s="866">
        <f>SUM(AB57:AB58)</f>
        <v>4.2698412698412694E-2</v>
      </c>
    </row>
    <row r="60" spans="1:29" ht="24" customHeight="1" thickBot="1" x14ac:dyDescent="0.3">
      <c r="A60" s="1133"/>
      <c r="B60" s="1238"/>
      <c r="C60" s="1239"/>
      <c r="D60" s="1240"/>
      <c r="E60" s="1241"/>
      <c r="F60" s="1253" t="e">
        <f>VLOOKUP($B60,Activities!$A$10:$P$152,4,FALSE)</f>
        <v>#N/A</v>
      </c>
      <c r="G60" s="1254"/>
      <c r="H60" s="844">
        <f>'Exploration Calculations'!J38</f>
        <v>0</v>
      </c>
      <c r="I60" s="1250" t="e">
        <f>VLOOKUP($B60,[2]Activities!$A$10:$S$151,16,FALSE)</f>
        <v>#N/A</v>
      </c>
      <c r="J60" s="1256"/>
      <c r="K60" s="1257"/>
      <c r="L60" s="1258"/>
      <c r="M60" s="1242" t="e">
        <f>VLOOKUP($B60,Activities!$A$10:$S$152,19,FALSE)</f>
        <v>#N/A</v>
      </c>
      <c r="O60" s="116"/>
      <c r="P60" s="867">
        <v>0.26</v>
      </c>
      <c r="Q60" s="868">
        <f t="shared" si="12"/>
        <v>4.2698412698412694E-2</v>
      </c>
      <c r="R60" s="869">
        <f t="shared" si="11"/>
        <v>0.80389695774311143</v>
      </c>
      <c r="S60" s="870">
        <f t="shared" si="10"/>
        <v>9.6467634929173371</v>
      </c>
      <c r="U60" s="46" t="s">
        <v>1230</v>
      </c>
      <c r="V60" s="17" t="s">
        <v>1231</v>
      </c>
      <c r="W60" s="877">
        <v>5</v>
      </c>
    </row>
    <row r="61" spans="1:29" ht="64.5" thickBot="1" x14ac:dyDescent="0.3">
      <c r="A61" s="1133"/>
      <c r="B61" s="1243" t="s">
        <v>1191</v>
      </c>
      <c r="C61" s="1244" t="s">
        <v>1286</v>
      </c>
      <c r="D61" s="1245" t="s">
        <v>49</v>
      </c>
      <c r="E61" s="1246">
        <f>'Exploration Calculations'!I53</f>
        <v>0</v>
      </c>
      <c r="F61" s="1247" t="s">
        <v>1202</v>
      </c>
      <c r="G61" s="1261" t="s">
        <v>1210</v>
      </c>
      <c r="H61" s="842" t="s">
        <v>1211</v>
      </c>
      <c r="I61" s="1250">
        <f>(SUM(W$56:W$59)/60+H62/S58)*VLOOKUP($P$50,Activities!$A$10:$Q$152,16,FALSE)+VLOOKUP($B61,Activities!$A$10:$Q$152,16,FALSE)*H62/100</f>
        <v>128.37504740319471</v>
      </c>
      <c r="J61" s="1265"/>
      <c r="K61" s="1267">
        <f>IF(D61="Y",IF(J61="",I61*E61+'Exploration Calculations'!J54*E61*VLOOKUP($P$47,Activities!$A$10:$Q$152,16,FALSE),J61*E61+'Exploration Calculations'!J54*E61*VLOOKUP($P$47,Activities!$A$10:$Q$152,16,FALSE)),"")</f>
        <v>0</v>
      </c>
      <c r="L61" s="1259" t="str">
        <f>IFERROR(IF(D61="Y",K61/$K$76,0%),"0.0%")</f>
        <v>0.0%</v>
      </c>
      <c r="M61" s="1263" t="s">
        <v>1195</v>
      </c>
      <c r="O61" s="116"/>
    </row>
    <row r="62" spans="1:29" ht="24" customHeight="1" thickBot="1" x14ac:dyDescent="0.3">
      <c r="A62" s="1133"/>
      <c r="B62" s="1219"/>
      <c r="C62" s="1221"/>
      <c r="D62" s="1223"/>
      <c r="E62" s="1215"/>
      <c r="F62" s="1217" t="e">
        <f>VLOOKUP($B62,Activities!$A$10:$P$152,4,FALSE)</f>
        <v>#N/A</v>
      </c>
      <c r="G62" s="1262"/>
      <c r="H62" s="844">
        <f>'Exploration Calculations'!J53</f>
        <v>0</v>
      </c>
      <c r="I62" s="1251" t="e">
        <f>VLOOKUP($B62,[2]Activities!$A$10:$S$151,16,FALSE)</f>
        <v>#N/A</v>
      </c>
      <c r="J62" s="1266"/>
      <c r="K62" s="1268"/>
      <c r="L62" s="1260"/>
      <c r="M62" s="1264"/>
      <c r="O62" s="116"/>
    </row>
    <row r="63" spans="1:29" ht="74.25" customHeight="1" thickBot="1" x14ac:dyDescent="0.3">
      <c r="A63" s="1133"/>
      <c r="B63" s="1218" t="s">
        <v>1184</v>
      </c>
      <c r="C63" s="1220" t="s">
        <v>1287</v>
      </c>
      <c r="D63" s="1222" t="s">
        <v>49</v>
      </c>
      <c r="E63" s="1214">
        <f>'Exploration Calculations'!L38</f>
        <v>0</v>
      </c>
      <c r="F63" s="1216" t="s">
        <v>1202</v>
      </c>
      <c r="G63" s="1224" t="s">
        <v>1210</v>
      </c>
      <c r="H63" s="842" t="s">
        <v>1211</v>
      </c>
      <c r="I63" s="1255">
        <f>VLOOKUP($B63,Activities!$A$10:$S$152,16,FALSE)*H64+VLOOKUP($P$45,Activities!$A$10:$S$152,16,FALSE)</f>
        <v>56.023647636039257</v>
      </c>
      <c r="J63" s="1236"/>
      <c r="K63" s="1230">
        <f>IF(D63="Y",IF(J63="",I63*E63,J63*E63),"")</f>
        <v>0</v>
      </c>
      <c r="L63" s="1232" t="str">
        <f>IFERROR(IF(D63="Y",K63/$K$76,0%),"0.0%")</f>
        <v>0.0%</v>
      </c>
      <c r="M63" s="1234" t="str">
        <f>VLOOKUP($B63,Activities!$A$10:$S$152,19,FALSE)</f>
        <v>This activity can be applied to drill holes which do not need grouting.  The hole casing is to be  cut off 1 metre below ground level, backfilled with drill cuttings and sealed with a non-degradeable plug.  Remaining cuttings are buried by excavating a small scrape adjacent to the cuttings.  The ground is then reshaped over the hole and scraped to allow natural revegetation of the area and removal of all traces of the hole.  Any and all rubbish is to be removed to an approved dump.</v>
      </c>
      <c r="O63" s="116"/>
    </row>
    <row r="64" spans="1:29" ht="24" customHeight="1" thickBot="1" x14ac:dyDescent="0.3">
      <c r="A64" s="1133"/>
      <c r="B64" s="1238"/>
      <c r="C64" s="1239"/>
      <c r="D64" s="1240"/>
      <c r="E64" s="1241"/>
      <c r="F64" s="1253" t="e">
        <f>VLOOKUP($B64,Activities!$A$10:$P$152,4,FALSE)</f>
        <v>#N/A</v>
      </c>
      <c r="G64" s="1254"/>
      <c r="H64" s="844">
        <f>'Exploration Calculations'!M38</f>
        <v>0</v>
      </c>
      <c r="I64" s="1250" t="e">
        <f>VLOOKUP($B64,[2]Activities!$A$10:$S$151,16,FALSE)</f>
        <v>#N/A</v>
      </c>
      <c r="J64" s="1256"/>
      <c r="K64" s="1257"/>
      <c r="L64" s="1258"/>
      <c r="M64" s="1242" t="e">
        <f>VLOOKUP($B64,Activities!$A$10:$S$152,19,FALSE)</f>
        <v>#N/A</v>
      </c>
      <c r="S64" s="4"/>
      <c r="U64" s="4"/>
    </row>
    <row r="65" spans="1:21" ht="64.5" thickBot="1" x14ac:dyDescent="0.3">
      <c r="A65" s="1133"/>
      <c r="B65" s="1243" t="s">
        <v>1192</v>
      </c>
      <c r="C65" s="1244" t="s">
        <v>1288</v>
      </c>
      <c r="D65" s="1245" t="s">
        <v>49</v>
      </c>
      <c r="E65" s="1246">
        <f>'Exploration Calculations'!L53</f>
        <v>0</v>
      </c>
      <c r="F65" s="1247" t="s">
        <v>1202</v>
      </c>
      <c r="G65" s="1248" t="s">
        <v>1210</v>
      </c>
      <c r="H65" s="842" t="s">
        <v>1211</v>
      </c>
      <c r="I65" s="1250">
        <f>(SUM(W$56:W$59)/60+H66/S57)*VLOOKUP($P$50,Activities!$A$10:$Q$152,16,FALSE)+VLOOKUP($B65,Activities!$A$10:$Q$152,16,FALSE)*H66/100</f>
        <v>128.37504740319471</v>
      </c>
      <c r="J65" s="1265"/>
      <c r="K65" s="1267">
        <f>IF(D65="Y",IF(J65="",I65*E65+'Exploration Calculations'!M54*E65*VLOOKUP($P$47,Activities!$A$10:$Q$152,16,FALSE),J65*E65+'Exploration Calculations'!M54*E65*VLOOKUP($P$47,Activities!$A$10:$Q$152,16,FALSE)),"")</f>
        <v>0</v>
      </c>
      <c r="L65" s="1259" t="str">
        <f>IFERROR(IF(D65="Y",K65/$K$76,0%),"0.0%")</f>
        <v>0.0%</v>
      </c>
      <c r="M65" s="1263" t="s">
        <v>1195</v>
      </c>
      <c r="S65" s="4"/>
      <c r="U65" s="4"/>
    </row>
    <row r="66" spans="1:21" ht="24" customHeight="1" thickBot="1" x14ac:dyDescent="0.3">
      <c r="A66" s="1133"/>
      <c r="B66" s="1219"/>
      <c r="C66" s="1221"/>
      <c r="D66" s="1223"/>
      <c r="E66" s="1215"/>
      <c r="F66" s="1217" t="e">
        <f>VLOOKUP($B66,Activities!$A$10:$P$152,4,FALSE)</f>
        <v>#N/A</v>
      </c>
      <c r="G66" s="1249"/>
      <c r="H66" s="844">
        <f>'Exploration Calculations'!M53</f>
        <v>0</v>
      </c>
      <c r="I66" s="1251" t="e">
        <f>VLOOKUP($B66,[2]Activities!$A$10:$S$151,16,FALSE)</f>
        <v>#N/A</v>
      </c>
      <c r="J66" s="1266"/>
      <c r="K66" s="1268"/>
      <c r="L66" s="1260"/>
      <c r="M66" s="1264"/>
      <c r="S66" s="4"/>
      <c r="U66" s="4"/>
    </row>
    <row r="67" spans="1:21" ht="74.25" customHeight="1" thickBot="1" x14ac:dyDescent="0.3">
      <c r="A67" s="1133"/>
      <c r="B67" s="1218" t="s">
        <v>1185</v>
      </c>
      <c r="C67" s="1220" t="s">
        <v>1289</v>
      </c>
      <c r="D67" s="1222" t="s">
        <v>49</v>
      </c>
      <c r="E67" s="1214">
        <f>'Exploration Calculations'!O38</f>
        <v>0</v>
      </c>
      <c r="F67" s="1216" t="s">
        <v>1202</v>
      </c>
      <c r="G67" s="1224" t="s">
        <v>1210</v>
      </c>
      <c r="H67" s="842" t="s">
        <v>1211</v>
      </c>
      <c r="I67" s="1255">
        <f>VLOOKUP($B67,Activities!$A$10:$S$152,16,FALSE)*H68+VLOOKUP($P$45,Activities!$A$10:$S$152,16,FALSE)</f>
        <v>56.023647636039257</v>
      </c>
      <c r="J67" s="1236"/>
      <c r="K67" s="1230">
        <f>IF(D67="Y",IF(J67="",I67*E67,J67*E67),"")</f>
        <v>0</v>
      </c>
      <c r="L67" s="1232" t="str">
        <f>IFERROR(IF(D67="Y",K67/$K$76,0%),"0.0%")</f>
        <v>0.0%</v>
      </c>
      <c r="M67" s="1234" t="str">
        <f>VLOOKUP($B67,Activities!$A$10:$S$152,19,FALSE)</f>
        <v>This activity can be applied to drill holes which do not need grouting.  The hole casing is to be  cut off 1 metre below ground level, backfilled with drill cuttings and sealed with a non-degradeable plug.  Remaining cuttings are buried by excavating a small scrape adjacent to the cuttings.  The ground is then reshaped over the hole and scraped to allow natural revegetation of the area and removal of all traces of the hole.  Any and all rubbish is to be removed to an approved dump.</v>
      </c>
      <c r="O67" s="116"/>
      <c r="S67" s="4"/>
      <c r="U67" s="4"/>
    </row>
    <row r="68" spans="1:21" ht="24" customHeight="1" thickBot="1" x14ac:dyDescent="0.3">
      <c r="A68" s="1133"/>
      <c r="B68" s="1238"/>
      <c r="C68" s="1239"/>
      <c r="D68" s="1240"/>
      <c r="E68" s="1241"/>
      <c r="F68" s="1253" t="e">
        <f>VLOOKUP($B68,Activities!$A$10:$P$152,4,FALSE)</f>
        <v>#N/A</v>
      </c>
      <c r="G68" s="1254"/>
      <c r="H68" s="844">
        <f>'Exploration Calculations'!P38</f>
        <v>0</v>
      </c>
      <c r="I68" s="1250" t="e">
        <f>VLOOKUP($B68,[2]Activities!$A$10:$S$151,16,FALSE)</f>
        <v>#N/A</v>
      </c>
      <c r="J68" s="1256"/>
      <c r="K68" s="1257"/>
      <c r="L68" s="1258"/>
      <c r="M68" s="1242" t="e">
        <f>VLOOKUP($B68,Activities!$A$10:$S$152,19,FALSE)</f>
        <v>#N/A</v>
      </c>
      <c r="S68" s="4"/>
      <c r="U68" s="4"/>
    </row>
    <row r="69" spans="1:21" ht="64.5" thickBot="1" x14ac:dyDescent="0.3">
      <c r="A69" s="1133"/>
      <c r="B69" s="1243" t="s">
        <v>1193</v>
      </c>
      <c r="C69" s="1244" t="s">
        <v>1290</v>
      </c>
      <c r="D69" s="1245" t="s">
        <v>49</v>
      </c>
      <c r="E69" s="1246">
        <f>'Exploration Calculations'!O53</f>
        <v>0</v>
      </c>
      <c r="F69" s="1247" t="s">
        <v>1202</v>
      </c>
      <c r="G69" s="1248" t="s">
        <v>1210</v>
      </c>
      <c r="H69" s="842" t="s">
        <v>1211</v>
      </c>
      <c r="I69" s="1250">
        <f>(SUM(W$56:W$59)/60+H70/S56)*VLOOKUP($P$50,Activities!$A$10:$Q$152,16,FALSE)+VLOOKUP($B69,Activities!$A$10:$Q$152,16,FALSE)*H70/100</f>
        <v>128.37504740319471</v>
      </c>
      <c r="J69" s="1265"/>
      <c r="K69" s="1267">
        <f>IF(D69="Y",IF(J69="",I69*E69+'Exploration Calculations'!P54*E69*VLOOKUP($P$47,Activities!$A$10:$Q$152,16,FALSE),J69*E69+'Exploration Calculations'!P54*E69*VLOOKUP($P$47,Activities!$A$10:$Q$152,16,FALSE)),"")</f>
        <v>0</v>
      </c>
      <c r="L69" s="1259" t="str">
        <f>IFERROR(IF(D69="Y",K69/$K$76,0%),"0.0%")</f>
        <v>0.0%</v>
      </c>
      <c r="M69" s="1263" t="s">
        <v>1195</v>
      </c>
      <c r="S69" s="4"/>
      <c r="U69" s="4"/>
    </row>
    <row r="70" spans="1:21" ht="24" customHeight="1" thickBot="1" x14ac:dyDescent="0.3">
      <c r="A70" s="1133"/>
      <c r="B70" s="1219"/>
      <c r="C70" s="1221"/>
      <c r="D70" s="1223"/>
      <c r="E70" s="1215"/>
      <c r="F70" s="1217" t="e">
        <f>VLOOKUP($B70,Activities!$A$10:$P$152,4,FALSE)</f>
        <v>#N/A</v>
      </c>
      <c r="G70" s="1249"/>
      <c r="H70" s="844">
        <f>'Exploration Calculations'!P53</f>
        <v>0</v>
      </c>
      <c r="I70" s="1251" t="e">
        <f>VLOOKUP($B70,[2]Activities!$A$10:$S$151,16,FALSE)</f>
        <v>#N/A</v>
      </c>
      <c r="J70" s="1266"/>
      <c r="K70" s="1268"/>
      <c r="L70" s="1260"/>
      <c r="M70" s="1264"/>
    </row>
    <row r="71" spans="1:21" ht="74.25" customHeight="1" thickBot="1" x14ac:dyDescent="0.3">
      <c r="A71" s="1133"/>
      <c r="B71" s="1218" t="s">
        <v>1186</v>
      </c>
      <c r="C71" s="1220" t="s">
        <v>1291</v>
      </c>
      <c r="D71" s="1222" t="s">
        <v>49</v>
      </c>
      <c r="E71" s="1214">
        <f>'Exploration Calculations'!R38</f>
        <v>0</v>
      </c>
      <c r="F71" s="1216" t="s">
        <v>1202</v>
      </c>
      <c r="G71" s="1224" t="s">
        <v>1210</v>
      </c>
      <c r="H71" s="842" t="s">
        <v>1211</v>
      </c>
      <c r="I71" s="1255">
        <f>VLOOKUP($B71,Activities!$A$10:$S$152,16,FALSE)*H72+VLOOKUP($P$45,Activities!$A$10:$S$152,16,FALSE)</f>
        <v>56.023647636039257</v>
      </c>
      <c r="J71" s="1236"/>
      <c r="K71" s="1230">
        <f>IF(D71="Y",IF(J71="",I71*E71,J71*E71),"")</f>
        <v>0</v>
      </c>
      <c r="L71" s="1232" t="str">
        <f>IFERROR(IF(D71="Y",K71/$K$76,0%),"0.0%")</f>
        <v>0.0%</v>
      </c>
      <c r="M71" s="1234" t="str">
        <f>VLOOKUP($B71,Activities!$A$10:$S$152,19,FALSE)</f>
        <v>This activity can be applied to drill holes which do not need grouting.  The hole casing is to be  cut off 1 metre below ground level, backfilled with drill cuttings and sealed with a non-degradeable plug.  Remaining cuttings are buried by excavating a small scrape adjacent to the cuttings.  The ground is then reshaped over the hole and scraped to allow natural revegetation of the area and removal of all traces of the hole.  Any and all rubbish is to be removed to an approved dump.</v>
      </c>
      <c r="O71" s="116"/>
    </row>
    <row r="72" spans="1:21" ht="24" customHeight="1" thickBot="1" x14ac:dyDescent="0.3">
      <c r="A72" s="1133"/>
      <c r="B72" s="1238"/>
      <c r="C72" s="1239"/>
      <c r="D72" s="1240"/>
      <c r="E72" s="1241"/>
      <c r="F72" s="1253" t="e">
        <f>VLOOKUP($B72,Activities!$A$10:$P$152,4,FALSE)</f>
        <v>#N/A</v>
      </c>
      <c r="G72" s="1254"/>
      <c r="H72" s="844">
        <f>'Exploration Calculations'!S38</f>
        <v>0</v>
      </c>
      <c r="I72" s="1250" t="e">
        <f>VLOOKUP($B72,[2]Activities!$A$10:$S$151,16,FALSE)</f>
        <v>#N/A</v>
      </c>
      <c r="J72" s="1256"/>
      <c r="K72" s="1257"/>
      <c r="L72" s="1258"/>
      <c r="M72" s="1242" t="e">
        <f>VLOOKUP($B72,Activities!$A$10:$S$152,19,FALSE)</f>
        <v>#N/A</v>
      </c>
    </row>
    <row r="73" spans="1:21" ht="74.25" customHeight="1" thickBot="1" x14ac:dyDescent="0.3">
      <c r="A73" s="1133"/>
      <c r="B73" s="1243" t="s">
        <v>1194</v>
      </c>
      <c r="C73" s="1244" t="s">
        <v>1292</v>
      </c>
      <c r="D73" s="1245" t="s">
        <v>49</v>
      </c>
      <c r="E73" s="1246">
        <f>'Exploration Calculations'!R53</f>
        <v>0</v>
      </c>
      <c r="F73" s="1247" t="s">
        <v>1202</v>
      </c>
      <c r="G73" s="1248" t="s">
        <v>1210</v>
      </c>
      <c r="H73" s="842" t="s">
        <v>1211</v>
      </c>
      <c r="I73" s="1250">
        <f>(SUM(W$56:W$59)/60+H74/S55)*VLOOKUP($P$50,Activities!$A$10:$Q$152,16,FALSE)+VLOOKUP($B73,Activities!$A$10:$Q$152,16,FALSE)*H74/100</f>
        <v>128.37504740319471</v>
      </c>
      <c r="J73" s="1265"/>
      <c r="K73" s="1267">
        <f>IF(D73="Y",IF(J73="",I73*E73+'Exploration Calculations'!S54*E73*VLOOKUP($P$47,Activities!$A$10:$Q$152,16,FALSE),J73*E73+'Exploration Calculations'!S54*E73*VLOOKUP($P$47,Activities!$A$10:$Q$152,16,FALSE)),"")</f>
        <v>0</v>
      </c>
      <c r="L73" s="1259" t="str">
        <f>IFERROR(IF(D73="Y",K73/$K$76,0%),"0.0%")</f>
        <v>0.0%</v>
      </c>
      <c r="M73" s="1263" t="s">
        <v>1195</v>
      </c>
    </row>
    <row r="74" spans="1:21" ht="24" customHeight="1" thickBot="1" x14ac:dyDescent="0.3">
      <c r="A74" s="1134"/>
      <c r="B74" s="1219"/>
      <c r="C74" s="1221"/>
      <c r="D74" s="1223"/>
      <c r="E74" s="1215"/>
      <c r="F74" s="1217" t="e">
        <f>VLOOKUP($B74,Activities!$A$10:$P$152,4,FALSE)</f>
        <v>#N/A</v>
      </c>
      <c r="G74" s="1249"/>
      <c r="H74" s="844">
        <f>'Exploration Calculations'!S53</f>
        <v>0</v>
      </c>
      <c r="I74" s="1251" t="e">
        <f>VLOOKUP($B74,[2]Activities!$A$10:$S$151,16,FALSE)</f>
        <v>#N/A</v>
      </c>
      <c r="J74" s="1266"/>
      <c r="K74" s="1268"/>
      <c r="L74" s="1260"/>
      <c r="M74" s="1264"/>
    </row>
    <row r="75" spans="1:21" ht="16.5" thickBot="1" x14ac:dyDescent="0.3">
      <c r="A75" s="21" t="s">
        <v>53</v>
      </c>
      <c r="B75" s="22" t="str">
        <f>A51</f>
        <v>Rehabilitation of Drillholes through Confined Aquifers
(See "Exploration Calc Explanation" Worksheet for Method)</v>
      </c>
      <c r="C75" s="23"/>
      <c r="D75" s="24"/>
      <c r="E75" s="25"/>
      <c r="F75" s="839"/>
      <c r="G75" s="24"/>
      <c r="H75" s="24"/>
      <c r="I75" s="354"/>
      <c r="J75" s="354"/>
      <c r="K75" s="256">
        <f>SUM(K51:K74)</f>
        <v>0</v>
      </c>
      <c r="L75" s="24"/>
      <c r="M75" s="29"/>
    </row>
    <row r="76" spans="1:21" ht="84.75" thickBot="1" x14ac:dyDescent="0.3">
      <c r="A76" s="1132" t="s">
        <v>817</v>
      </c>
      <c r="B76" s="102" t="s">
        <v>405</v>
      </c>
      <c r="C76" s="871" t="str">
        <f>VLOOKUP($B76,Activities!$A$10:$P$152,3,FALSE)</f>
        <v>Removal of a dam liner and minor pipework to enable the reinstatement of a water dam or other storage facility.</v>
      </c>
      <c r="D76" s="239" t="s">
        <v>49</v>
      </c>
      <c r="E76" s="320"/>
      <c r="F76" s="838" t="str">
        <f>VLOOKUP($B76,Activities!$A$10:$P$152,4,FALSE)</f>
        <v>Item</v>
      </c>
      <c r="G76" s="1160"/>
      <c r="H76" s="1161"/>
      <c r="I76" s="273">
        <f>VLOOKUP($B76,Activities!$A$10:$S$152,16,FALSE)</f>
        <v>2413.2207421290032</v>
      </c>
      <c r="J76" s="269"/>
      <c r="K76" s="247">
        <f t="shared" ref="K76:K78" si="14">IF(D76="Y",IF(J76="",I76*E76,J76*E76),0)</f>
        <v>0</v>
      </c>
      <c r="L76" s="248" t="str">
        <f t="shared" ref="L76:L78" si="15">IFERROR(IF(D76="Y",K76/$K$59,0%),"0.0%")</f>
        <v>0.0%</v>
      </c>
      <c r="M76" s="816" t="str">
        <f>VLOOKUP($B76,Activities!$A$10:$S$152,19,FALSE)</f>
        <v>This activity involves the removal and tidying up of a water storage area prior to bulk movement of material to reinstate the area back to natural surface.  It also includes the removal of any pipes, pumps and other items associated with the use of the dam.  IT is assumed that the liner if present will be cut and folded onto itself in the centre of the dam so that the liner can be buried.</v>
      </c>
    </row>
    <row r="77" spans="1:21" ht="50.25" customHeight="1" thickBot="1" x14ac:dyDescent="0.3">
      <c r="A77" s="1133"/>
      <c r="B77" s="102" t="s">
        <v>13</v>
      </c>
      <c r="C77" s="90" t="str">
        <f>VLOOKUP($B77,Activities!$A$10:$P$152,3,FALSE)</f>
        <v>Major Bulk Pushing/Dozing to achieve Final Land Forms</v>
      </c>
      <c r="D77" s="239" t="s">
        <v>49</v>
      </c>
      <c r="E77" s="320"/>
      <c r="F77" s="838" t="str">
        <f>VLOOKUP($B77,Activities!$A$10:$P$152,4,FALSE)</f>
        <v>m3</v>
      </c>
      <c r="G77" s="1160"/>
      <c r="H77" s="1161"/>
      <c r="I77" s="872">
        <f>VLOOKUP($B77,Activities!$A$10:$S$152,16,FALSE)</f>
        <v>0.96390609627070267</v>
      </c>
      <c r="J77" s="351"/>
      <c r="K77" s="20">
        <f t="shared" si="14"/>
        <v>0</v>
      </c>
      <c r="L77" s="248" t="str">
        <f t="shared" si="15"/>
        <v>0.0%</v>
      </c>
      <c r="M77" s="816" t="str">
        <f>VLOOKUP($B77,Activities!$A$10:$S$152,19,FALSE)</f>
        <v>This unit cost covers the use of a dozer to push material within reasonable confines to achieve a Final Land Form.  It is often undertaken prior to covering a tailing storage facility</v>
      </c>
    </row>
    <row r="78" spans="1:21" ht="48.75" thickBot="1" x14ac:dyDescent="0.3">
      <c r="A78" s="1134"/>
      <c r="B78" s="102" t="s">
        <v>79</v>
      </c>
      <c r="C78" s="90" t="str">
        <f>VLOOKUP($B78,Activities!$A$10:$P$152,3,FALSE)</f>
        <v>Minor Shaping across a Dump or Disturbed Area</v>
      </c>
      <c r="D78" s="239" t="s">
        <v>49</v>
      </c>
      <c r="E78" s="320"/>
      <c r="F78" s="838" t="str">
        <f>VLOOKUP($B78,Activities!$A$10:$P$152,4,FALSE)</f>
        <v>Ha</v>
      </c>
      <c r="G78" s="1160"/>
      <c r="H78" s="1161"/>
      <c r="I78" s="273">
        <f>VLOOKUP($B78,Activities!$A$10:$S$152,16,FALSE)</f>
        <v>2987.2221197728068</v>
      </c>
      <c r="J78" s="269"/>
      <c r="K78" s="390">
        <f t="shared" si="14"/>
        <v>0</v>
      </c>
      <c r="L78" s="248" t="str">
        <f t="shared" si="15"/>
        <v>0.0%</v>
      </c>
      <c r="M78" s="816" t="str">
        <f>VLOOKUP($B78,Activities!$A$10:$S$152,19,FALSE)</f>
        <v xml:space="preserve">This activity covers minor shaping shifting pushing across a dump or disturbed area.  It is based on a rate per hectare.  It covers area where there needs to be some clearing work, tidying up of disturbed ground,  but not just bulk pushing </v>
      </c>
    </row>
    <row r="79" spans="1:21" ht="16.5" thickBot="1" x14ac:dyDescent="0.3">
      <c r="A79" s="21" t="s">
        <v>53</v>
      </c>
      <c r="B79" s="22" t="str">
        <f>A76</f>
        <v>Removal and Reinstatement of Dams and Water Storage Facilities</v>
      </c>
      <c r="C79" s="23"/>
      <c r="D79" s="24"/>
      <c r="E79" s="25"/>
      <c r="F79" s="839"/>
      <c r="G79" s="24"/>
      <c r="H79" s="24"/>
      <c r="I79" s="354"/>
      <c r="J79" s="354"/>
      <c r="K79" s="256">
        <f>SUM(K76:K78)</f>
        <v>0</v>
      </c>
      <c r="L79" s="24"/>
      <c r="M79" s="29"/>
    </row>
    <row r="80" spans="1:21" ht="36.75" customHeight="1" thickBot="1" x14ac:dyDescent="0.3">
      <c r="A80" s="1132" t="s">
        <v>661</v>
      </c>
      <c r="B80" s="102" t="s">
        <v>70</v>
      </c>
      <c r="C80" s="90" t="str">
        <f>VLOOKUP($B80,Activities!$A$10:$P$152,3,FALSE)</f>
        <v>Sourcing, Carting and Spreading of Topsoil over an Area</v>
      </c>
      <c r="D80" s="239" t="s">
        <v>49</v>
      </c>
      <c r="E80" s="320"/>
      <c r="F80" s="838" t="str">
        <f>VLOOKUP($B80,Activities!$A$10:$P$152,4,FALSE)</f>
        <v>m3</v>
      </c>
      <c r="G80" s="313" t="s">
        <v>51</v>
      </c>
      <c r="H80" s="140" t="s">
        <v>264</v>
      </c>
      <c r="I80" s="817">
        <f>VLOOKUP(H80,U16:V21,2)</f>
        <v>0</v>
      </c>
      <c r="J80" s="269"/>
      <c r="K80" s="390">
        <f>IF(D80="Y",IF(J80="",I80*E80,J80*E80),"")</f>
        <v>0</v>
      </c>
      <c r="L80" s="248" t="str">
        <f>IFERROR(IF(D80="Y",K80/$K$99,0%),"0.0%")</f>
        <v>0.0%</v>
      </c>
      <c r="M80" s="816" t="s">
        <v>748</v>
      </c>
    </row>
    <row r="81" spans="1:13" ht="38.25" customHeight="1" thickBot="1" x14ac:dyDescent="0.3">
      <c r="A81" s="1133"/>
      <c r="B81" s="102" t="s">
        <v>21</v>
      </c>
      <c r="C81" s="90" t="str">
        <f>VLOOKUP($B81,Activities!$A$10:$P$152,3,FALSE)</f>
        <v>Scarification to promote vegetation growth</v>
      </c>
      <c r="D81" s="239" t="s">
        <v>49</v>
      </c>
      <c r="E81" s="320"/>
      <c r="F81" s="838" t="str">
        <f>VLOOKUP($B81,Activities!$A$10:$P$152,4,FALSE)</f>
        <v>Ha</v>
      </c>
      <c r="G81" s="1160"/>
      <c r="H81" s="1161"/>
      <c r="I81" s="273">
        <f>VLOOKUP($B81,Activities!$A$10:$S$152,16,FALSE)</f>
        <v>323.54530924221694</v>
      </c>
      <c r="J81" s="269"/>
      <c r="K81" s="390">
        <f t="shared" ref="K81" si="16">IF(D81="Y",IF(J81="",I81*E81,J81*E81),0)</f>
        <v>0</v>
      </c>
      <c r="L81" s="248" t="str">
        <f t="shared" ref="L81" si="17">IFERROR(IF(D81="Y",K81/$K$59,0%),"0.0%")</f>
        <v>0.0%</v>
      </c>
      <c r="M81" s="816" t="str">
        <f>VLOOKUP($B81,Activities!$A$10:$S$152,19,FALSE)</f>
        <v xml:space="preserve">This activity is undertaken in preparation for the seeding of a particular area.  </v>
      </c>
    </row>
    <row r="82" spans="1:13" ht="38.25" customHeight="1" thickBot="1" x14ac:dyDescent="0.3">
      <c r="A82" s="1133"/>
      <c r="B82" s="102" t="s">
        <v>626</v>
      </c>
      <c r="C82" s="90" t="str">
        <f>VLOOKUP($B82,Activities!$A$10:$P$152,3,FALSE)</f>
        <v>Purchase and single application of ground ameliorants (e.g. gypsum)</v>
      </c>
      <c r="D82" s="239" t="s">
        <v>49</v>
      </c>
      <c r="E82" s="320"/>
      <c r="F82" s="838" t="str">
        <f>VLOOKUP($B82,Activities!$A$10:$P$152,4,FALSE)</f>
        <v>Ha</v>
      </c>
      <c r="G82" s="1160"/>
      <c r="H82" s="1161"/>
      <c r="I82" s="273">
        <f>VLOOKUP($B82,Activities!$A$10:$S$152,16,FALSE)</f>
        <v>877.38983538153695</v>
      </c>
      <c r="J82" s="269"/>
      <c r="K82" s="390">
        <f t="shared" ref="K82:K92" si="18">IF(D82="Y",IF(J82="",I82*E82,J82*E82),0)</f>
        <v>0</v>
      </c>
      <c r="L82" s="248" t="str">
        <f t="shared" ref="L82:L92" si="19">IFERROR(IF(D82="Y",K82/$K$59,0%),"0.0%")</f>
        <v>0.0%</v>
      </c>
      <c r="M82" s="816" t="str">
        <f>VLOOKUP($B82,Activities!$A$10:$S$152,19,FALSE)</f>
        <v>This Activity includes the purchase and single application of ground ameliorants (e.g. gypsum).</v>
      </c>
    </row>
    <row r="83" spans="1:13" ht="38.25" customHeight="1" thickBot="1" x14ac:dyDescent="0.3">
      <c r="A83" s="1133"/>
      <c r="B83" s="102" t="s">
        <v>627</v>
      </c>
      <c r="C83" s="90" t="str">
        <f>VLOOKUP($B83,Activities!$A$10:$P$152,3,FALSE)</f>
        <v>The purchase only of non-native pasture grasses</v>
      </c>
      <c r="D83" s="239" t="s">
        <v>49</v>
      </c>
      <c r="E83" s="320"/>
      <c r="F83" s="838" t="str">
        <f>VLOOKUP($B83,Activities!$A$10:$P$152,4,FALSE)</f>
        <v>Ha</v>
      </c>
      <c r="G83" s="1160"/>
      <c r="H83" s="1161"/>
      <c r="I83" s="273">
        <f>VLOOKUP($B83,Activities!$A$10:$S$152,16,FALSE)</f>
        <v>1774.5180283018869</v>
      </c>
      <c r="J83" s="269"/>
      <c r="K83" s="390">
        <f t="shared" si="18"/>
        <v>0</v>
      </c>
      <c r="L83" s="248" t="str">
        <f t="shared" si="19"/>
        <v>0.0%</v>
      </c>
      <c r="M83" s="816" t="str">
        <f>VLOOKUP($B83,Activities!$A$10:$S$152,19,FALSE)</f>
        <v>This activity covers the purchase of non-native pasture grasses</v>
      </c>
    </row>
    <row r="84" spans="1:13" ht="38.25" customHeight="1" thickBot="1" x14ac:dyDescent="0.3">
      <c r="A84" s="1133"/>
      <c r="B84" s="102" t="s">
        <v>628</v>
      </c>
      <c r="C84" s="90" t="str">
        <f>VLOOKUP($B84,Activities!$A$10:$P$152,3,FALSE)</f>
        <v>The purchase only of general native seed mix</v>
      </c>
      <c r="D84" s="239" t="s">
        <v>49</v>
      </c>
      <c r="E84" s="320"/>
      <c r="F84" s="838" t="str">
        <f>VLOOKUP($B84,Activities!$A$10:$P$152,4,FALSE)</f>
        <v>Ha</v>
      </c>
      <c r="G84" s="1160"/>
      <c r="H84" s="1161"/>
      <c r="I84" s="273">
        <f>VLOOKUP($B84,Activities!$A$10:$S$152,16,FALSE)</f>
        <v>3439.8717452830197</v>
      </c>
      <c r="J84" s="269"/>
      <c r="K84" s="390">
        <f t="shared" si="18"/>
        <v>0</v>
      </c>
      <c r="L84" s="248" t="str">
        <f t="shared" si="19"/>
        <v>0.0%</v>
      </c>
      <c r="M84" s="816" t="str">
        <f>VLOOKUP($B84,Activities!$A$10:$S$152,19,FALSE)</f>
        <v>This activity covers the purchase of general native seed mix</v>
      </c>
    </row>
    <row r="85" spans="1:13" ht="38.25" customHeight="1" thickBot="1" x14ac:dyDescent="0.3">
      <c r="A85" s="1133"/>
      <c r="B85" s="102" t="s">
        <v>629</v>
      </c>
      <c r="C85" s="90" t="str">
        <f>VLOOKUP($B85,Activities!$A$10:$P$152,3,FALSE)</f>
        <v>The purchase only of local provenance native seed mix</v>
      </c>
      <c r="D85" s="239" t="s">
        <v>49</v>
      </c>
      <c r="E85" s="320"/>
      <c r="F85" s="838" t="str">
        <f>VLOOKUP($B85,Activities!$A$10:$P$152,4,FALSE)</f>
        <v>Ha</v>
      </c>
      <c r="G85" s="1160"/>
      <c r="H85" s="1161"/>
      <c r="I85" s="273">
        <f>VLOOKUP($B85,Activities!$A$10:$S$152,16,FALSE)</f>
        <v>10525.680933962265</v>
      </c>
      <c r="J85" s="269"/>
      <c r="K85" s="390">
        <f t="shared" si="18"/>
        <v>0</v>
      </c>
      <c r="L85" s="248" t="str">
        <f t="shared" si="19"/>
        <v>0.0%</v>
      </c>
      <c r="M85" s="816" t="str">
        <f>VLOOKUP($B85,Activities!$A$10:$S$152,19,FALSE)</f>
        <v>This activity covers the purchase of local provenance native seed mix</v>
      </c>
    </row>
    <row r="86" spans="1:13" ht="38.25" customHeight="1" thickBot="1" x14ac:dyDescent="0.3">
      <c r="A86" s="1133"/>
      <c r="B86" s="102" t="s">
        <v>630</v>
      </c>
      <c r="C86" s="90" t="str">
        <f>VLOOKUP($B86,Activities!$A$10:$P$152,3,FALSE)</f>
        <v>The purchase only of fertiliser for broadcast application</v>
      </c>
      <c r="D86" s="239" t="s">
        <v>49</v>
      </c>
      <c r="E86" s="320"/>
      <c r="F86" s="838" t="str">
        <f>VLOOKUP($B86,Activities!$A$10:$P$152,4,FALSE)</f>
        <v>Ha</v>
      </c>
      <c r="G86" s="1160"/>
      <c r="H86" s="1161"/>
      <c r="I86" s="273">
        <f>VLOOKUP($B86,Activities!$A$10:$S$152,16,FALSE)</f>
        <v>613.30500000000006</v>
      </c>
      <c r="J86" s="269"/>
      <c r="K86" s="390">
        <f t="shared" si="18"/>
        <v>0</v>
      </c>
      <c r="L86" s="248" t="str">
        <f t="shared" si="19"/>
        <v>0.0%</v>
      </c>
      <c r="M86" s="816" t="str">
        <f>VLOOKUP($B86,Activities!$A$10:$S$152,19,FALSE)</f>
        <v>This activity covers the purchase of local fertiliser for broadcast application.  It does not inlcude the application.</v>
      </c>
    </row>
    <row r="87" spans="1:13" ht="38.25" customHeight="1" thickBot="1" x14ac:dyDescent="0.3">
      <c r="A87" s="1133"/>
      <c r="B87" s="102" t="s">
        <v>631</v>
      </c>
      <c r="C87" s="90" t="str">
        <f>VLOOKUP($B87,Activities!$A$10:$P$152,3,FALSE)</f>
        <v>The purchase of native tubestock (including slow release fertiliser)</v>
      </c>
      <c r="D87" s="239" t="s">
        <v>49</v>
      </c>
      <c r="E87" s="320"/>
      <c r="F87" s="838" t="str">
        <f>VLOOKUP($B87,Activities!$A$10:$P$152,4,FALSE)</f>
        <v>Ha</v>
      </c>
      <c r="G87" s="1160"/>
      <c r="H87" s="1161"/>
      <c r="I87" s="273">
        <f>VLOOKUP($B87,Activities!$A$10:$S$152,16,FALSE)</f>
        <v>19729.952830188682</v>
      </c>
      <c r="J87" s="269"/>
      <c r="K87" s="390">
        <f t="shared" si="18"/>
        <v>0</v>
      </c>
      <c r="L87" s="248" t="str">
        <f t="shared" si="19"/>
        <v>0.0%</v>
      </c>
      <c r="M87" s="816" t="str">
        <f>VLOOKUP($B87,Activities!$A$10:$S$152,19,FALSE)</f>
        <v>The Activity includes the purchase of native tubestock (including slow release fertiliser).  It does not include planting.</v>
      </c>
    </row>
    <row r="88" spans="1:13" ht="38.25" customHeight="1" thickBot="1" x14ac:dyDescent="0.3">
      <c r="A88" s="1133"/>
      <c r="B88" s="102" t="s">
        <v>632</v>
      </c>
      <c r="C88" s="90" t="str">
        <f>VLOOKUP($B88,Activities!$A$10:$P$152,3,FALSE)</f>
        <v>Direct seeding along rip line or mechanical broadcast seeding</v>
      </c>
      <c r="D88" s="239" t="s">
        <v>49</v>
      </c>
      <c r="E88" s="320"/>
      <c r="F88" s="838" t="str">
        <f>VLOOKUP($B88,Activities!$A$10:$P$152,4,FALSE)</f>
        <v>Ha</v>
      </c>
      <c r="G88" s="1160"/>
      <c r="H88" s="1161"/>
      <c r="I88" s="273">
        <f>VLOOKUP($B88,Activities!$A$10:$S$152,16,FALSE)</f>
        <v>2100.7838269402318</v>
      </c>
      <c r="J88" s="269"/>
      <c r="K88" s="390">
        <f t="shared" si="18"/>
        <v>0</v>
      </c>
      <c r="L88" s="248" t="str">
        <f t="shared" si="19"/>
        <v>0.0%</v>
      </c>
      <c r="M88" s="816" t="str">
        <f>VLOOKUP($B88,Activities!$A$10:$S$152,19,FALSE)</f>
        <v>Sowing of separately purchased seed and or fertiliser for broadcast application that involves scattering seed, by hand or mechanically, over a relatively large area.</v>
      </c>
    </row>
    <row r="89" spans="1:13" ht="48.75" thickBot="1" x14ac:dyDescent="0.3">
      <c r="A89" s="1133"/>
      <c r="B89" s="102" t="s">
        <v>633</v>
      </c>
      <c r="C89" s="90" t="str">
        <f>VLOOKUP($B89,Activities!$A$10:$P$152,3,FALSE)</f>
        <v>Hydromulching (does not include seed or fertiliser)</v>
      </c>
      <c r="D89" s="239" t="s">
        <v>49</v>
      </c>
      <c r="E89" s="320"/>
      <c r="F89" s="838" t="str">
        <f>VLOOKUP($B89,Activities!$A$10:$P$152,4,FALSE)</f>
        <v>Ha</v>
      </c>
      <c r="G89" s="1160"/>
      <c r="H89" s="1161"/>
      <c r="I89" s="273">
        <f>VLOOKUP($B89,Activities!$A$10:$S$152,16,FALSE)</f>
        <v>1583.2664818030244</v>
      </c>
      <c r="J89" s="269"/>
      <c r="K89" s="390">
        <f t="shared" si="18"/>
        <v>0</v>
      </c>
      <c r="L89" s="248" t="str">
        <f t="shared" si="19"/>
        <v>0.0%</v>
      </c>
      <c r="M89" s="816" t="str">
        <f>VLOOKUP($B89,Activities!$A$10:$S$152,19,FALSE)</f>
        <v>Hydromulching planting process that uses a slurry of seed and mulch. It is often used as an erosion control technique as an alternative to the traditional process of broadcasting or sowing dry seed.</v>
      </c>
    </row>
    <row r="90" spans="1:13" ht="32.25" thickBot="1" x14ac:dyDescent="0.3">
      <c r="A90" s="1133"/>
      <c r="B90" s="102" t="s">
        <v>717</v>
      </c>
      <c r="C90" s="90" t="str">
        <f>VLOOKUP($B90,Activities!$A$10:$P$152,3,FALSE)</f>
        <v>Planting of tubestock &lt;15cm (assumes 1,000 plants per hectare)</v>
      </c>
      <c r="D90" s="239" t="s">
        <v>49</v>
      </c>
      <c r="E90" s="240"/>
      <c r="F90" s="838" t="str">
        <f>VLOOKUP($B90,Activities!$A$10:$P$152,4,FALSE)</f>
        <v>Ha</v>
      </c>
      <c r="G90" s="1160"/>
      <c r="H90" s="1161"/>
      <c r="I90" s="273">
        <f>VLOOKUP($B90,Activities!$A$10:$S$152,16,FALSE)</f>
        <v>1714.118869047619</v>
      </c>
      <c r="J90" s="269"/>
      <c r="K90" s="390">
        <f t="shared" si="18"/>
        <v>0</v>
      </c>
      <c r="L90" s="248" t="str">
        <f t="shared" si="19"/>
        <v>0.0%</v>
      </c>
      <c r="M90" s="816" t="str">
        <f>VLOOKUP($B90,Activities!$A$10:$S$152,19,FALSE)</f>
        <v>This Activity covers the hand planting of tubestock plants across a broad area.</v>
      </c>
    </row>
    <row r="91" spans="1:13" ht="55.5" customHeight="1" thickBot="1" x14ac:dyDescent="0.3">
      <c r="A91" s="1133"/>
      <c r="B91" s="102" t="s">
        <v>92</v>
      </c>
      <c r="C91" s="90" t="str">
        <f>VLOOKUP($B91,Activities!$A$10:$P$152,3,FALSE)</f>
        <v xml:space="preserve">Construction of a 6' chain mesh security fience around the perimeter </v>
      </c>
      <c r="D91" s="239" t="s">
        <v>49</v>
      </c>
      <c r="E91" s="240"/>
      <c r="F91" s="19" t="str">
        <f>VLOOKUP($B91,Activities!$A$10:$P$152,4,FALSE)</f>
        <v>km</v>
      </c>
      <c r="G91" s="1269"/>
      <c r="H91" s="1270"/>
      <c r="I91" s="273">
        <f>VLOOKUP($B91,Activities!$A$10:$S$152,16,FALSE)</f>
        <v>78632.004774033849</v>
      </c>
      <c r="J91" s="269"/>
      <c r="K91" s="388">
        <f t="shared" si="18"/>
        <v>0</v>
      </c>
      <c r="L91" s="248" t="str">
        <f t="shared" si="19"/>
        <v>0.0%</v>
      </c>
      <c r="M91" s="816" t="str">
        <f>VLOOKUP($B91,Activities!$A$10:$S$152,19,FALSE)</f>
        <v>This activity involves the construction of a chain mesh security fence to restrict and prevent access.   It includes an allowance for gates.</v>
      </c>
    </row>
    <row r="92" spans="1:13" ht="60.75" thickBot="1" x14ac:dyDescent="0.3">
      <c r="A92" s="1134"/>
      <c r="B92" s="102" t="s">
        <v>25</v>
      </c>
      <c r="C92" s="90" t="str">
        <f>VLOOKUP($B92,Activities!$A$10:$P$152,3,FALSE)</f>
        <v xml:space="preserve">Construction of a stock proof fence including appropriate gates </v>
      </c>
      <c r="D92" s="239" t="s">
        <v>49</v>
      </c>
      <c r="E92" s="240"/>
      <c r="F92" s="19" t="str">
        <f>VLOOKUP($B92,Activities!$A$10:$P$152,4,FALSE)</f>
        <v>km</v>
      </c>
      <c r="G92" s="1269"/>
      <c r="H92" s="1270"/>
      <c r="I92" s="273">
        <f>VLOOKUP($B92,Activities!$A$10:$S$152,16,FALSE)</f>
        <v>13302.992584007126</v>
      </c>
      <c r="J92" s="269"/>
      <c r="K92" s="388">
        <f t="shared" si="18"/>
        <v>0</v>
      </c>
      <c r="L92" s="248" t="str">
        <f t="shared" si="19"/>
        <v>0.0%</v>
      </c>
      <c r="M92" s="816" t="str">
        <f>VLOOKUP($B92,Activities!$A$10:$S$152,19,FALSE)</f>
        <v>This activity involves the construction of a stock proof fence to protect revegetation against stock and to provide an obstacle to persons to prevent inadvertant access.  It is not designed to prevent a person climbing over it.  It includes an allowance for gates.</v>
      </c>
    </row>
    <row r="93" spans="1:13" ht="15.75" thickBot="1" x14ac:dyDescent="0.3">
      <c r="A93" s="21" t="s">
        <v>53</v>
      </c>
      <c r="B93" s="22" t="str">
        <f>A80</f>
        <v>Topsoil Preparation and Revegetation of Main Exploration Area.</v>
      </c>
      <c r="C93" s="23"/>
      <c r="D93" s="24"/>
      <c r="E93" s="25"/>
      <c r="F93" s="839"/>
      <c r="G93" s="24"/>
      <c r="H93" s="24"/>
      <c r="I93" s="255"/>
      <c r="J93" s="255"/>
      <c r="K93" s="256">
        <f>SUM(K80:K90)</f>
        <v>0</v>
      </c>
      <c r="L93" s="24"/>
      <c r="M93" s="29"/>
    </row>
    <row r="94" spans="1:13" ht="46.5" customHeight="1" thickBot="1" x14ac:dyDescent="0.3">
      <c r="A94" s="1132" t="s">
        <v>407</v>
      </c>
      <c r="B94" s="19"/>
      <c r="C94" s="821" t="s">
        <v>55</v>
      </c>
      <c r="D94" s="239" t="s">
        <v>52</v>
      </c>
      <c r="E94" s="320"/>
      <c r="F94" s="841"/>
      <c r="G94" s="1160"/>
      <c r="H94" s="1161"/>
      <c r="I94" s="822" t="s">
        <v>475</v>
      </c>
      <c r="J94" s="269"/>
      <c r="K94" s="390" t="str">
        <f>IF(D94="Y",J94*E94,"")</f>
        <v/>
      </c>
      <c r="L94" s="248">
        <f>IFERROR(IF(D94="Y",K94/$K$99,0%),"0.0%")</f>
        <v>0</v>
      </c>
      <c r="M94" s="139" t="s">
        <v>56</v>
      </c>
    </row>
    <row r="95" spans="1:13" ht="46.5" customHeight="1" thickBot="1" x14ac:dyDescent="0.3">
      <c r="A95" s="1133"/>
      <c r="B95" s="19"/>
      <c r="C95" s="821" t="s">
        <v>55</v>
      </c>
      <c r="D95" s="239" t="s">
        <v>52</v>
      </c>
      <c r="E95" s="320"/>
      <c r="F95" s="841"/>
      <c r="G95" s="1271"/>
      <c r="H95" s="1272"/>
      <c r="I95" s="822" t="s">
        <v>475</v>
      </c>
      <c r="J95" s="269"/>
      <c r="K95" s="390" t="str">
        <f>IF(D95="Y",J95*E95,"")</f>
        <v/>
      </c>
      <c r="L95" s="248">
        <f>IFERROR(IF(D95="Y",K95/$K$99,0%),"0.0%")</f>
        <v>0</v>
      </c>
      <c r="M95" s="139" t="s">
        <v>56</v>
      </c>
    </row>
    <row r="96" spans="1:13" ht="46.5" customHeight="1" thickBot="1" x14ac:dyDescent="0.3">
      <c r="A96" s="1134"/>
      <c r="B96" s="19"/>
      <c r="C96" s="821" t="s">
        <v>55</v>
      </c>
      <c r="D96" s="239" t="s">
        <v>52</v>
      </c>
      <c r="E96" s="320"/>
      <c r="F96" s="841"/>
      <c r="G96" s="1271"/>
      <c r="H96" s="1272"/>
      <c r="I96" s="822" t="s">
        <v>475</v>
      </c>
      <c r="J96" s="269"/>
      <c r="K96" s="390" t="str">
        <f>IF(D96="Y",J96*E96,"")</f>
        <v/>
      </c>
      <c r="L96" s="248">
        <f>IFERROR(IF(D96="Y",K96/$K$99,0%),"0.0%")</f>
        <v>0</v>
      </c>
      <c r="M96" s="139" t="s">
        <v>56</v>
      </c>
    </row>
    <row r="97" spans="1:13" ht="15.75" thickBot="1" x14ac:dyDescent="0.3">
      <c r="A97" s="21" t="s">
        <v>53</v>
      </c>
      <c r="B97" s="22" t="str">
        <f>A94</f>
        <v>Other Activity in Exploration Area</v>
      </c>
      <c r="C97" s="23"/>
      <c r="D97" s="24"/>
      <c r="E97" s="25"/>
      <c r="F97" s="839"/>
      <c r="G97" s="24"/>
      <c r="H97" s="24"/>
      <c r="I97" s="255"/>
      <c r="J97" s="255"/>
      <c r="K97" s="256">
        <f>SUM(K94:K96)</f>
        <v>0</v>
      </c>
      <c r="L97" s="24"/>
      <c r="M97" s="29"/>
    </row>
    <row r="98" spans="1:13" x14ac:dyDescent="0.25">
      <c r="A98" s="3"/>
      <c r="B98" s="3"/>
      <c r="C98" s="30"/>
      <c r="D98" s="9"/>
      <c r="E98" s="31"/>
      <c r="F98" s="1"/>
      <c r="G98" s="9"/>
      <c r="H98" s="9"/>
      <c r="I98" s="265"/>
      <c r="J98" s="265"/>
      <c r="K98" s="266"/>
      <c r="L98" s="9"/>
      <c r="M98" s="30"/>
    </row>
    <row r="99" spans="1:13" ht="21" x14ac:dyDescent="0.25">
      <c r="A99" s="3"/>
      <c r="B99" s="3"/>
      <c r="C99" s="30"/>
      <c r="D99" s="9"/>
      <c r="E99" s="31"/>
      <c r="F99" s="1"/>
      <c r="G99" s="9"/>
      <c r="H99" s="9"/>
      <c r="J99" s="823" t="s">
        <v>409</v>
      </c>
      <c r="K99" s="268">
        <f>K97+K93+K79+K75+K50+K37+K31+K23</f>
        <v>0</v>
      </c>
      <c r="L99" s="9"/>
      <c r="M99" s="30"/>
    </row>
    <row r="100" spans="1:13" x14ac:dyDescent="0.25">
      <c r="A100" s="3"/>
      <c r="B100" s="3"/>
      <c r="C100" s="30"/>
      <c r="D100" s="9"/>
      <c r="E100" s="31"/>
      <c r="F100" s="1"/>
      <c r="G100" s="9"/>
      <c r="H100" s="9"/>
      <c r="I100" s="265"/>
      <c r="J100" s="265"/>
      <c r="K100" s="266"/>
      <c r="L100" s="9"/>
      <c r="M100" s="30"/>
    </row>
    <row r="101" spans="1:13" x14ac:dyDescent="0.25">
      <c r="A101" s="3"/>
      <c r="B101" s="3"/>
      <c r="C101" s="30"/>
      <c r="D101" s="9"/>
      <c r="E101" s="31"/>
      <c r="F101" s="1"/>
      <c r="G101" s="9"/>
      <c r="H101" s="9"/>
      <c r="I101" s="265"/>
      <c r="J101" s="265"/>
      <c r="K101" s="266"/>
      <c r="L101" s="9"/>
      <c r="M101" s="30"/>
    </row>
    <row r="102" spans="1:13" x14ac:dyDescent="0.25">
      <c r="A102" s="3"/>
      <c r="B102" s="3"/>
      <c r="C102" s="30"/>
      <c r="D102" s="9"/>
      <c r="E102" s="31"/>
      <c r="F102" s="1"/>
      <c r="G102" s="9"/>
      <c r="H102" s="9"/>
      <c r="I102" s="265"/>
      <c r="J102" s="265"/>
      <c r="K102" s="266"/>
      <c r="L102" s="9"/>
      <c r="M102" s="30"/>
    </row>
    <row r="103" spans="1:13" x14ac:dyDescent="0.25">
      <c r="A103" s="3"/>
      <c r="B103" s="3"/>
      <c r="C103" s="30"/>
      <c r="D103" s="9"/>
      <c r="E103" s="31"/>
      <c r="F103" s="1"/>
      <c r="G103" s="9"/>
      <c r="H103" s="9"/>
      <c r="I103" s="265"/>
      <c r="J103" s="265"/>
      <c r="K103" s="266"/>
      <c r="L103" s="9"/>
      <c r="M103" s="30"/>
    </row>
    <row r="104" spans="1:13" x14ac:dyDescent="0.25">
      <c r="A104" s="3"/>
      <c r="B104" s="3"/>
      <c r="C104" s="30"/>
      <c r="D104" s="9"/>
      <c r="E104" s="31"/>
      <c r="F104" s="1"/>
      <c r="G104" s="9"/>
      <c r="H104" s="9"/>
      <c r="I104" s="265"/>
      <c r="J104" s="265"/>
      <c r="K104" s="266"/>
      <c r="L104" s="9"/>
      <c r="M104" s="30"/>
    </row>
    <row r="105" spans="1:13" x14ac:dyDescent="0.25">
      <c r="A105" s="3"/>
      <c r="B105" s="3"/>
      <c r="C105" s="30"/>
      <c r="D105" s="9"/>
      <c r="E105" s="31"/>
      <c r="F105" s="1"/>
      <c r="G105" s="9"/>
      <c r="H105" s="9"/>
      <c r="I105" s="265"/>
      <c r="J105" s="265"/>
      <c r="K105" s="266"/>
      <c r="L105" s="9"/>
      <c r="M105" s="30"/>
    </row>
    <row r="106" spans="1:13" x14ac:dyDescent="0.25">
      <c r="A106" s="3"/>
      <c r="B106" s="3"/>
      <c r="C106" s="30"/>
      <c r="D106" s="9"/>
      <c r="E106" s="31"/>
      <c r="F106" s="1"/>
      <c r="G106" s="9"/>
      <c r="H106" s="9"/>
      <c r="I106" s="265"/>
      <c r="J106" s="265"/>
      <c r="K106" s="266"/>
      <c r="L106" s="9"/>
      <c r="M106" s="30"/>
    </row>
    <row r="107" spans="1:13" x14ac:dyDescent="0.25">
      <c r="A107" s="3"/>
      <c r="B107" s="3"/>
      <c r="C107" s="30"/>
      <c r="D107" s="9"/>
      <c r="E107" s="31"/>
      <c r="F107" s="1"/>
      <c r="G107" s="9"/>
      <c r="H107" s="9"/>
      <c r="I107" s="265"/>
      <c r="J107" s="265"/>
      <c r="K107" s="266"/>
      <c r="L107" s="9"/>
      <c r="M107" s="30"/>
    </row>
    <row r="108" spans="1:13" x14ac:dyDescent="0.25">
      <c r="A108" s="3"/>
      <c r="B108" s="3"/>
      <c r="C108" s="30"/>
      <c r="D108" s="9"/>
      <c r="E108" s="31"/>
      <c r="F108" s="1"/>
      <c r="G108" s="9"/>
      <c r="H108" s="9"/>
      <c r="I108" s="265"/>
      <c r="J108" s="265"/>
      <c r="K108" s="266"/>
      <c r="L108" s="9"/>
      <c r="M108" s="30"/>
    </row>
    <row r="109" spans="1:13" x14ac:dyDescent="0.25">
      <c r="A109" s="3"/>
      <c r="B109" s="3"/>
      <c r="C109" s="30"/>
      <c r="D109" s="9"/>
      <c r="E109" s="31"/>
      <c r="F109" s="1"/>
      <c r="G109" s="9"/>
      <c r="H109" s="9"/>
      <c r="I109" s="265"/>
      <c r="J109" s="265"/>
      <c r="K109" s="266"/>
      <c r="L109" s="9"/>
      <c r="M109" s="30"/>
    </row>
    <row r="110" spans="1:13" x14ac:dyDescent="0.25">
      <c r="A110" s="3"/>
      <c r="B110" s="3"/>
      <c r="C110" s="30"/>
      <c r="D110" s="9"/>
      <c r="E110" s="31"/>
      <c r="F110" s="1"/>
      <c r="G110" s="9"/>
      <c r="H110" s="9"/>
      <c r="I110" s="265"/>
      <c r="J110" s="265"/>
      <c r="K110" s="266"/>
      <c r="L110" s="9"/>
      <c r="M110" s="30"/>
    </row>
    <row r="111" spans="1:13" x14ac:dyDescent="0.25">
      <c r="A111" s="3"/>
      <c r="B111" s="3"/>
      <c r="C111" s="30"/>
      <c r="D111" s="9"/>
      <c r="E111" s="9"/>
      <c r="F111" s="1"/>
      <c r="G111" s="9"/>
      <c r="H111" s="9"/>
      <c r="I111" s="265"/>
      <c r="J111" s="265"/>
      <c r="K111" s="266"/>
      <c r="L111" s="9"/>
      <c r="M111" s="30"/>
    </row>
    <row r="112" spans="1:13" x14ac:dyDescent="0.25">
      <c r="A112" s="3"/>
      <c r="B112" s="3"/>
      <c r="C112" s="30"/>
      <c r="D112" s="9"/>
      <c r="E112" s="9"/>
      <c r="F112" s="1"/>
      <c r="G112" s="9"/>
      <c r="H112" s="9"/>
      <c r="I112" s="265"/>
      <c r="J112" s="265"/>
      <c r="K112" s="266"/>
      <c r="L112" s="9"/>
      <c r="M112" s="30"/>
    </row>
    <row r="113" spans="3:13" x14ac:dyDescent="0.25">
      <c r="C113" s="30"/>
      <c r="D113" s="9"/>
      <c r="E113" s="9"/>
      <c r="F113" s="1"/>
      <c r="G113" s="9"/>
      <c r="H113" s="9"/>
      <c r="I113" s="265"/>
      <c r="J113" s="265"/>
      <c r="K113" s="9"/>
      <c r="L113" s="9"/>
      <c r="M113" s="30"/>
    </row>
    <row r="114" spans="3:13" x14ac:dyDescent="0.25">
      <c r="C114" s="30"/>
      <c r="D114" s="9"/>
      <c r="E114" s="9"/>
      <c r="F114" s="1"/>
      <c r="G114" s="9"/>
      <c r="H114" s="9"/>
      <c r="I114" s="265"/>
      <c r="J114" s="265"/>
      <c r="K114" s="9"/>
      <c r="L114" s="9"/>
      <c r="M114" s="30"/>
    </row>
    <row r="115" spans="3:13" x14ac:dyDescent="0.25">
      <c r="C115" s="30"/>
      <c r="D115" s="9"/>
      <c r="E115" s="9"/>
      <c r="F115" s="1"/>
      <c r="G115" s="9"/>
      <c r="H115" s="9"/>
      <c r="I115" s="9"/>
      <c r="J115" s="9"/>
      <c r="K115" s="9"/>
      <c r="L115" s="9"/>
      <c r="M115" s="30"/>
    </row>
    <row r="116" spans="3:13" x14ac:dyDescent="0.25">
      <c r="D116" s="9"/>
      <c r="E116" s="9"/>
      <c r="F116" s="1"/>
      <c r="G116" s="9"/>
      <c r="H116" s="9"/>
      <c r="I116" s="9"/>
      <c r="J116" s="9"/>
      <c r="K116" s="9"/>
      <c r="L116" s="9"/>
    </row>
    <row r="117" spans="3:13" x14ac:dyDescent="0.25">
      <c r="D117" s="9"/>
      <c r="E117" s="9"/>
      <c r="F117" s="1"/>
      <c r="G117" s="9"/>
      <c r="H117" s="9"/>
      <c r="I117" s="9"/>
      <c r="J117" s="9"/>
      <c r="K117" s="9"/>
      <c r="L117" s="9"/>
    </row>
    <row r="118" spans="3:13" x14ac:dyDescent="0.25">
      <c r="D118" s="9"/>
      <c r="E118" s="9"/>
      <c r="F118" s="1"/>
      <c r="G118" s="9"/>
      <c r="H118" s="9"/>
      <c r="I118" s="9"/>
      <c r="J118" s="9"/>
      <c r="K118" s="9"/>
      <c r="L118" s="9"/>
    </row>
    <row r="119" spans="3:13" x14ac:dyDescent="0.25">
      <c r="D119" s="9"/>
      <c r="E119" s="9"/>
      <c r="F119" s="1"/>
      <c r="G119" s="9"/>
      <c r="H119" s="9"/>
      <c r="I119" s="9"/>
      <c r="J119" s="9"/>
      <c r="K119" s="9"/>
      <c r="L119" s="9"/>
    </row>
    <row r="120" spans="3:13" x14ac:dyDescent="0.25">
      <c r="D120" s="9"/>
      <c r="E120" s="9"/>
      <c r="F120" s="1"/>
      <c r="G120" s="9"/>
      <c r="H120" s="9"/>
      <c r="I120" s="9"/>
      <c r="J120" s="9"/>
      <c r="K120" s="9"/>
      <c r="L120" s="9"/>
    </row>
    <row r="121" spans="3:13" x14ac:dyDescent="0.25">
      <c r="D121" s="9"/>
      <c r="E121" s="9"/>
      <c r="F121" s="1"/>
      <c r="G121" s="9"/>
      <c r="H121" s="9"/>
      <c r="I121" s="9"/>
      <c r="J121" s="9"/>
      <c r="K121" s="9"/>
      <c r="L121" s="9"/>
    </row>
    <row r="122" spans="3:13" x14ac:dyDescent="0.25">
      <c r="D122" s="9"/>
      <c r="E122" s="9"/>
      <c r="F122" s="1"/>
      <c r="G122" s="9"/>
      <c r="H122" s="9"/>
      <c r="I122" s="9"/>
      <c r="J122" s="9"/>
      <c r="K122" s="9"/>
      <c r="L122" s="9"/>
    </row>
    <row r="123" spans="3:13" x14ac:dyDescent="0.25">
      <c r="D123" s="9"/>
      <c r="E123" s="9"/>
      <c r="F123" s="1"/>
      <c r="G123" s="9"/>
      <c r="H123" s="9"/>
      <c r="I123" s="9"/>
      <c r="J123" s="9"/>
      <c r="K123" s="9"/>
      <c r="L123" s="9"/>
    </row>
    <row r="124" spans="3:13" x14ac:dyDescent="0.25">
      <c r="D124" s="9"/>
      <c r="E124" s="9"/>
      <c r="F124" s="1"/>
      <c r="G124" s="9"/>
      <c r="H124" s="9"/>
      <c r="I124" s="9"/>
      <c r="J124" s="9"/>
      <c r="K124" s="9"/>
      <c r="L124" s="9"/>
    </row>
    <row r="125" spans="3:13" x14ac:dyDescent="0.25">
      <c r="D125" s="9"/>
      <c r="E125" s="9"/>
      <c r="F125" s="1"/>
      <c r="G125" s="9"/>
      <c r="H125" s="9"/>
      <c r="I125" s="9"/>
      <c r="J125" s="9"/>
      <c r="K125" s="9"/>
      <c r="L125" s="9"/>
    </row>
    <row r="126" spans="3:13" x14ac:dyDescent="0.25">
      <c r="D126" s="9"/>
      <c r="E126" s="9"/>
      <c r="F126" s="1"/>
      <c r="G126" s="9"/>
      <c r="H126" s="9"/>
      <c r="I126" s="9"/>
      <c r="J126" s="9"/>
      <c r="K126" s="9"/>
      <c r="L126" s="9"/>
    </row>
    <row r="127" spans="3:13" x14ac:dyDescent="0.25">
      <c r="D127" s="9"/>
      <c r="E127" s="9"/>
      <c r="F127" s="1"/>
      <c r="G127" s="9"/>
      <c r="H127" s="9"/>
      <c r="I127" s="9"/>
      <c r="J127" s="9"/>
      <c r="K127" s="9"/>
      <c r="L127" s="9"/>
    </row>
  </sheetData>
  <sheetProtection algorithmName="SHA-512" hashValue="Sb/rgfEmD8K7VCSNxZi8pYlwIux14RP2Y2g5rcCD72YP2ictM0ctWRsDBjpbJeRXsVHsB5euUfCZwaY2Uygxmw==" saltValue="AF/oo3PkF1IR7p/k6j6EuQ==" spinCount="100000" sheet="1" formatCells="0" formatRows="0" selectLockedCells="1"/>
  <mergeCells count="254">
    <mergeCell ref="G89:H89"/>
    <mergeCell ref="G90:H90"/>
    <mergeCell ref="G91:H91"/>
    <mergeCell ref="G92:H92"/>
    <mergeCell ref="A94:A96"/>
    <mergeCell ref="G94:H94"/>
    <mergeCell ref="G95:H95"/>
    <mergeCell ref="G96:H96"/>
    <mergeCell ref="A80:A92"/>
    <mergeCell ref="G83:H83"/>
    <mergeCell ref="G84:H84"/>
    <mergeCell ref="G85:H85"/>
    <mergeCell ref="G86:H86"/>
    <mergeCell ref="G87:H87"/>
    <mergeCell ref="G88:H88"/>
    <mergeCell ref="A76:A78"/>
    <mergeCell ref="G76:H76"/>
    <mergeCell ref="G77:H77"/>
    <mergeCell ref="G78:H78"/>
    <mergeCell ref="G81:H81"/>
    <mergeCell ref="G82:H82"/>
    <mergeCell ref="G73:G74"/>
    <mergeCell ref="I73:I74"/>
    <mergeCell ref="J73:J74"/>
    <mergeCell ref="K73:K74"/>
    <mergeCell ref="L73:L74"/>
    <mergeCell ref="M73:M74"/>
    <mergeCell ref="I71:I72"/>
    <mergeCell ref="J71:J72"/>
    <mergeCell ref="K71:K72"/>
    <mergeCell ref="L71:L72"/>
    <mergeCell ref="M71:M72"/>
    <mergeCell ref="B73:B74"/>
    <mergeCell ref="C73:C74"/>
    <mergeCell ref="D73:D74"/>
    <mergeCell ref="E73:E74"/>
    <mergeCell ref="F73:F74"/>
    <mergeCell ref="B71:B72"/>
    <mergeCell ref="C71:C72"/>
    <mergeCell ref="D71:D72"/>
    <mergeCell ref="E71:E72"/>
    <mergeCell ref="F71:F72"/>
    <mergeCell ref="G71:G72"/>
    <mergeCell ref="G69:G70"/>
    <mergeCell ref="I69:I70"/>
    <mergeCell ref="J69:J70"/>
    <mergeCell ref="K69:K70"/>
    <mergeCell ref="L69:L70"/>
    <mergeCell ref="M69:M70"/>
    <mergeCell ref="I67:I68"/>
    <mergeCell ref="J67:J68"/>
    <mergeCell ref="K67:K68"/>
    <mergeCell ref="L67:L68"/>
    <mergeCell ref="M67:M68"/>
    <mergeCell ref="G67:G68"/>
    <mergeCell ref="B69:B70"/>
    <mergeCell ref="C69:C70"/>
    <mergeCell ref="D69:D70"/>
    <mergeCell ref="E69:E70"/>
    <mergeCell ref="F69:F70"/>
    <mergeCell ref="B67:B68"/>
    <mergeCell ref="C67:C68"/>
    <mergeCell ref="D67:D68"/>
    <mergeCell ref="E67:E68"/>
    <mergeCell ref="F67:F68"/>
    <mergeCell ref="G65:G66"/>
    <mergeCell ref="I65:I66"/>
    <mergeCell ref="J65:J66"/>
    <mergeCell ref="K65:K66"/>
    <mergeCell ref="L65:L66"/>
    <mergeCell ref="M65:M66"/>
    <mergeCell ref="I63:I64"/>
    <mergeCell ref="J63:J64"/>
    <mergeCell ref="K63:K64"/>
    <mergeCell ref="L63:L64"/>
    <mergeCell ref="M63:M64"/>
    <mergeCell ref="G63:G64"/>
    <mergeCell ref="B65:B66"/>
    <mergeCell ref="C65:C66"/>
    <mergeCell ref="D65:D66"/>
    <mergeCell ref="E65:E66"/>
    <mergeCell ref="F65:F66"/>
    <mergeCell ref="B63:B64"/>
    <mergeCell ref="C63:C64"/>
    <mergeCell ref="D63:D64"/>
    <mergeCell ref="E63:E64"/>
    <mergeCell ref="F63:F64"/>
    <mergeCell ref="J61:J62"/>
    <mergeCell ref="K61:K62"/>
    <mergeCell ref="L61:L62"/>
    <mergeCell ref="M61:M62"/>
    <mergeCell ref="I59:I60"/>
    <mergeCell ref="J59:J60"/>
    <mergeCell ref="K59:K60"/>
    <mergeCell ref="L59:L60"/>
    <mergeCell ref="M59:M60"/>
    <mergeCell ref="M57:M58"/>
    <mergeCell ref="B59:B60"/>
    <mergeCell ref="C59:C60"/>
    <mergeCell ref="D59:D60"/>
    <mergeCell ref="E59:E60"/>
    <mergeCell ref="F59:F60"/>
    <mergeCell ref="G59:G60"/>
    <mergeCell ref="B57:B58"/>
    <mergeCell ref="C57:C58"/>
    <mergeCell ref="D57:D58"/>
    <mergeCell ref="E57:E58"/>
    <mergeCell ref="F57:F58"/>
    <mergeCell ref="G57:G58"/>
    <mergeCell ref="I57:I58"/>
    <mergeCell ref="B61:B62"/>
    <mergeCell ref="C61:C62"/>
    <mergeCell ref="D61:D62"/>
    <mergeCell ref="E61:E62"/>
    <mergeCell ref="F61:F62"/>
    <mergeCell ref="G61:G62"/>
    <mergeCell ref="I61:I62"/>
    <mergeCell ref="M53:M54"/>
    <mergeCell ref="B55:B56"/>
    <mergeCell ref="C55:C56"/>
    <mergeCell ref="D55:D56"/>
    <mergeCell ref="E55:E56"/>
    <mergeCell ref="F55:F56"/>
    <mergeCell ref="G55:G56"/>
    <mergeCell ref="I55:I56"/>
    <mergeCell ref="J55:J56"/>
    <mergeCell ref="K55:K56"/>
    <mergeCell ref="L55:L56"/>
    <mergeCell ref="M55:M56"/>
    <mergeCell ref="J53:J54"/>
    <mergeCell ref="K53:K54"/>
    <mergeCell ref="J57:J58"/>
    <mergeCell ref="K57:K58"/>
    <mergeCell ref="L57:L58"/>
    <mergeCell ref="F51:F52"/>
    <mergeCell ref="G51:G52"/>
    <mergeCell ref="I51:I52"/>
    <mergeCell ref="J51:J52"/>
    <mergeCell ref="K51:K52"/>
    <mergeCell ref="L51:L52"/>
    <mergeCell ref="L53:L54"/>
    <mergeCell ref="I48:I49"/>
    <mergeCell ref="J48:J49"/>
    <mergeCell ref="K48:K49"/>
    <mergeCell ref="L48:L49"/>
    <mergeCell ref="M48:M49"/>
    <mergeCell ref="A51:A74"/>
    <mergeCell ref="B51:B52"/>
    <mergeCell ref="C51:C52"/>
    <mergeCell ref="D51:D52"/>
    <mergeCell ref="E51:E52"/>
    <mergeCell ref="B48:B49"/>
    <mergeCell ref="C48:C49"/>
    <mergeCell ref="D48:D49"/>
    <mergeCell ref="E48:E49"/>
    <mergeCell ref="F48:F49"/>
    <mergeCell ref="G48:G49"/>
    <mergeCell ref="M51:M52"/>
    <mergeCell ref="B53:B54"/>
    <mergeCell ref="C53:C54"/>
    <mergeCell ref="D53:D54"/>
    <mergeCell ref="E53:E54"/>
    <mergeCell ref="F53:F54"/>
    <mergeCell ref="G53:G54"/>
    <mergeCell ref="I53:I54"/>
    <mergeCell ref="A38:A49"/>
    <mergeCell ref="B38:B39"/>
    <mergeCell ref="C38:C39"/>
    <mergeCell ref="D38:D39"/>
    <mergeCell ref="G46:G47"/>
    <mergeCell ref="I46:I47"/>
    <mergeCell ref="J46:J47"/>
    <mergeCell ref="K46:K47"/>
    <mergeCell ref="L46:L47"/>
    <mergeCell ref="M46:M47"/>
    <mergeCell ref="I44:I45"/>
    <mergeCell ref="J44:J45"/>
    <mergeCell ref="K44:K45"/>
    <mergeCell ref="L44:L45"/>
    <mergeCell ref="M44:M45"/>
    <mergeCell ref="G44:G45"/>
    <mergeCell ref="B46:B47"/>
    <mergeCell ref="C46:C47"/>
    <mergeCell ref="D46:D47"/>
    <mergeCell ref="E46:E47"/>
    <mergeCell ref="F46:F47"/>
    <mergeCell ref="B44:B45"/>
    <mergeCell ref="C44:C45"/>
    <mergeCell ref="D44:D45"/>
    <mergeCell ref="E44:E45"/>
    <mergeCell ref="F44:F45"/>
    <mergeCell ref="G42:G43"/>
    <mergeCell ref="I42:I43"/>
    <mergeCell ref="J42:J43"/>
    <mergeCell ref="K42:K43"/>
    <mergeCell ref="L42:L43"/>
    <mergeCell ref="M42:M43"/>
    <mergeCell ref="I40:I41"/>
    <mergeCell ref="J40:J41"/>
    <mergeCell ref="K40:K41"/>
    <mergeCell ref="L40:L41"/>
    <mergeCell ref="M40:M41"/>
    <mergeCell ref="G40:G41"/>
    <mergeCell ref="R14:V14"/>
    <mergeCell ref="A15:B15"/>
    <mergeCell ref="C15:E15"/>
    <mergeCell ref="A16:E19"/>
    <mergeCell ref="G21:H21"/>
    <mergeCell ref="Q22:T22"/>
    <mergeCell ref="E38:E39"/>
    <mergeCell ref="F38:F39"/>
    <mergeCell ref="B42:B43"/>
    <mergeCell ref="C42:C43"/>
    <mergeCell ref="D42:D43"/>
    <mergeCell ref="E42:E43"/>
    <mergeCell ref="F42:F43"/>
    <mergeCell ref="B40:B41"/>
    <mergeCell ref="C40:C41"/>
    <mergeCell ref="D40:D41"/>
    <mergeCell ref="E40:E41"/>
    <mergeCell ref="F40:F41"/>
    <mergeCell ref="G38:G39"/>
    <mergeCell ref="I38:I39"/>
    <mergeCell ref="J38:J39"/>
    <mergeCell ref="K38:K39"/>
    <mergeCell ref="L38:L39"/>
    <mergeCell ref="M38:M39"/>
    <mergeCell ref="A1:B1"/>
    <mergeCell ref="C1:E1"/>
    <mergeCell ref="F1:J3"/>
    <mergeCell ref="K1:L1"/>
    <mergeCell ref="C2:E2"/>
    <mergeCell ref="A5:E6"/>
    <mergeCell ref="G5:J5"/>
    <mergeCell ref="G6:M7"/>
    <mergeCell ref="B7:E7"/>
    <mergeCell ref="A32:A36"/>
    <mergeCell ref="B8:E8"/>
    <mergeCell ref="G8:M19"/>
    <mergeCell ref="B9:E9"/>
    <mergeCell ref="B10:E10"/>
    <mergeCell ref="B11:E11"/>
    <mergeCell ref="B12:E12"/>
    <mergeCell ref="A14:B14"/>
    <mergeCell ref="C14:E14"/>
    <mergeCell ref="A24:A30"/>
    <mergeCell ref="G24:H24"/>
    <mergeCell ref="G25:H25"/>
    <mergeCell ref="G28:H28"/>
    <mergeCell ref="G29:H29"/>
    <mergeCell ref="G30:H30"/>
    <mergeCell ref="G32:H32"/>
    <mergeCell ref="G34:H34"/>
    <mergeCell ref="G36:H36"/>
  </mergeCells>
  <dataValidations count="4">
    <dataValidation type="list" allowBlank="1" showInputMessage="1" showErrorMessage="1" sqref="H33 H80" xr:uid="{E788BC0D-E948-4152-9953-115CBDAC3881}">
      <formula1>$U$16:$U$20</formula1>
    </dataValidation>
    <dataValidation type="list" allowBlank="1" showInputMessage="1" showErrorMessage="1" sqref="H26 H35" xr:uid="{8331AE37-52F8-487E-8C24-7078348E70F3}">
      <formula1>$AA$9:$AA$15</formula1>
    </dataValidation>
    <dataValidation type="list" allowBlank="1" showInputMessage="1" showErrorMessage="1" sqref="H27" xr:uid="{B256E04D-C200-4BC4-A94D-330CE186E8B5}">
      <formula1>$AA$20:$AA$26</formula1>
    </dataValidation>
    <dataValidation type="list" allowBlank="1" showInputMessage="1" showErrorMessage="1" sqref="H22" xr:uid="{32129606-6E09-4976-BBF6-202C1516846A}">
      <formula1>$X$2:$X$6</formula1>
    </dataValidation>
  </dataValidations>
  <pageMargins left="0.70866141732283472" right="0.70866141732283472" top="0.74803149606299213" bottom="0.74803149606299213" header="0.31496062992125984" footer="0.31496062992125984"/>
  <pageSetup paperSize="8" scale="34" fitToWidth="0" orientation="portrait" r:id="rId1"/>
  <headerFooter>
    <oddHeader>&amp;LDepartment for Energy and Mining&amp;C&amp;"Arial"&amp;12&amp;KA80000 OFFICIAL&amp;1#_x000D_</oddHeader>
    <oddFooter>&amp;L&amp;Z
&amp;F&amp;C&amp;P&amp;R&amp;D</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02708-C6A5-40E3-AAA8-9D1F0FE57613}">
  <sheetPr>
    <tabColor rgb="FF92D050"/>
  </sheetPr>
  <dimension ref="B1:AK58"/>
  <sheetViews>
    <sheetView zoomScale="70" zoomScaleNormal="70" workbookViewId="0">
      <selection activeCell="C9" sqref="C9"/>
    </sheetView>
  </sheetViews>
  <sheetFormatPr defaultRowHeight="15" x14ac:dyDescent="0.25"/>
  <cols>
    <col min="2" max="2" width="3.7109375" customWidth="1"/>
    <col min="3" max="3" width="15.42578125" customWidth="1"/>
    <col min="4" max="4" width="18" customWidth="1"/>
    <col min="5" max="5" width="3.28515625" customWidth="1"/>
    <col min="6" max="6" width="15.42578125" customWidth="1"/>
    <col min="7" max="7" width="18" customWidth="1"/>
    <col min="8" max="8" width="3.28515625" customWidth="1"/>
    <col min="9" max="9" width="15.42578125" customWidth="1"/>
    <col min="10" max="10" width="18" customWidth="1"/>
    <col min="11" max="11" width="3.28515625" customWidth="1"/>
    <col min="12" max="12" width="15.42578125" customWidth="1"/>
    <col min="13" max="13" width="18" customWidth="1"/>
    <col min="14" max="14" width="3.28515625" customWidth="1"/>
    <col min="15" max="15" width="15.42578125" customWidth="1"/>
    <col min="16" max="16" width="18" customWidth="1"/>
    <col min="17" max="17" width="3.28515625" customWidth="1"/>
    <col min="18" max="18" width="15.42578125" customWidth="1"/>
    <col min="19" max="19" width="18" customWidth="1"/>
    <col min="20" max="20" width="3.5703125" style="136" customWidth="1"/>
    <col min="21" max="37" width="9.140625" style="136"/>
  </cols>
  <sheetData>
    <row r="1" spans="2:37" s="233" customFormat="1" x14ac:dyDescent="0.25">
      <c r="T1" s="136"/>
      <c r="U1" s="136"/>
      <c r="V1" s="136"/>
      <c r="W1" s="136"/>
      <c r="X1" s="136"/>
      <c r="Y1" s="136"/>
      <c r="Z1" s="136"/>
      <c r="AA1" s="136"/>
      <c r="AB1" s="136"/>
      <c r="AC1" s="136"/>
      <c r="AD1" s="136"/>
      <c r="AE1" s="136"/>
      <c r="AF1" s="136"/>
      <c r="AG1" s="136"/>
      <c r="AH1" s="136"/>
      <c r="AI1" s="136"/>
      <c r="AJ1" s="136"/>
      <c r="AK1" s="136"/>
    </row>
    <row r="2" spans="2:37" s="233" customFormat="1" x14ac:dyDescent="0.25">
      <c r="T2" s="136"/>
      <c r="U2" s="136"/>
      <c r="V2" s="136"/>
      <c r="W2" s="136"/>
      <c r="X2" s="136"/>
      <c r="Y2" s="136"/>
      <c r="Z2" s="136"/>
      <c r="AA2" s="136"/>
      <c r="AB2" s="136"/>
      <c r="AC2" s="136"/>
      <c r="AD2" s="136"/>
      <c r="AE2" s="136"/>
      <c r="AF2" s="136"/>
      <c r="AG2" s="136"/>
      <c r="AH2" s="136"/>
      <c r="AI2" s="136"/>
      <c r="AJ2" s="136"/>
      <c r="AK2" s="136"/>
    </row>
    <row r="3" spans="2:37" s="233" customFormat="1" ht="15.75" thickBot="1" x14ac:dyDescent="0.3">
      <c r="T3" s="136"/>
      <c r="U3" s="136"/>
      <c r="V3" s="136"/>
      <c r="W3" s="136"/>
      <c r="X3" s="136"/>
      <c r="Y3" s="136"/>
      <c r="Z3" s="136"/>
      <c r="AA3" s="136"/>
      <c r="AB3" s="136"/>
      <c r="AC3" s="136"/>
      <c r="AD3" s="136"/>
      <c r="AE3" s="136"/>
      <c r="AF3" s="136"/>
      <c r="AG3" s="136"/>
      <c r="AH3" s="136"/>
      <c r="AI3" s="136"/>
      <c r="AJ3" s="136"/>
      <c r="AK3" s="136"/>
    </row>
    <row r="4" spans="2:37" s="233" customFormat="1" ht="15.75" thickBot="1" x14ac:dyDescent="0.3">
      <c r="B4" s="915"/>
      <c r="C4" s="916"/>
      <c r="D4" s="916"/>
      <c r="E4" s="916"/>
      <c r="F4" s="916"/>
      <c r="G4" s="916"/>
      <c r="H4" s="916"/>
      <c r="I4" s="916"/>
      <c r="J4" s="916"/>
      <c r="K4" s="916"/>
      <c r="L4" s="916"/>
      <c r="M4" s="916"/>
      <c r="N4" s="916"/>
      <c r="O4" s="916"/>
      <c r="P4" s="916"/>
      <c r="Q4" s="916"/>
      <c r="R4" s="916"/>
      <c r="S4" s="916"/>
      <c r="T4" s="917"/>
      <c r="U4" s="136"/>
      <c r="V4" s="136"/>
      <c r="W4" s="136"/>
      <c r="X4" s="136"/>
      <c r="Y4" s="136"/>
      <c r="Z4" s="136"/>
      <c r="AA4" s="136"/>
      <c r="AB4" s="136"/>
      <c r="AC4" s="136"/>
      <c r="AD4" s="136"/>
      <c r="AE4" s="136"/>
      <c r="AF4" s="136"/>
      <c r="AG4" s="136"/>
      <c r="AH4" s="136"/>
      <c r="AI4" s="136"/>
      <c r="AJ4" s="136"/>
      <c r="AK4" s="136"/>
    </row>
    <row r="5" spans="2:37" s="233" customFormat="1" ht="27" thickBot="1" x14ac:dyDescent="0.45">
      <c r="B5" s="921"/>
      <c r="C5" s="887" t="s">
        <v>1209</v>
      </c>
      <c r="D5" s="888"/>
      <c r="E5" s="888"/>
      <c r="F5" s="888"/>
      <c r="G5" s="888"/>
      <c r="H5" s="888"/>
      <c r="I5" s="888"/>
      <c r="J5" s="888"/>
      <c r="K5" s="888"/>
      <c r="L5" s="888"/>
      <c r="M5" s="888"/>
      <c r="N5" s="888"/>
      <c r="O5" s="888"/>
      <c r="P5" s="888"/>
      <c r="Q5" s="888"/>
      <c r="R5" s="888"/>
      <c r="S5" s="889"/>
      <c r="T5" s="924"/>
      <c r="U5" s="136"/>
      <c r="V5" s="136"/>
      <c r="W5" s="136"/>
      <c r="X5" s="136"/>
      <c r="Y5" s="136"/>
      <c r="Z5" s="136"/>
      <c r="AA5" s="136"/>
      <c r="AB5" s="136"/>
      <c r="AC5" s="136"/>
      <c r="AD5" s="136"/>
      <c r="AE5" s="136"/>
      <c r="AF5" s="136"/>
      <c r="AG5" s="136"/>
      <c r="AH5" s="136"/>
      <c r="AI5" s="136"/>
      <c r="AJ5" s="136"/>
      <c r="AK5" s="136"/>
    </row>
    <row r="6" spans="2:37" s="233" customFormat="1" x14ac:dyDescent="0.25">
      <c r="B6" s="921"/>
      <c r="C6" s="234"/>
      <c r="D6" s="234"/>
      <c r="E6" s="234"/>
      <c r="F6" s="234"/>
      <c r="G6" s="234"/>
      <c r="H6" s="234"/>
      <c r="I6" s="234"/>
      <c r="J6" s="234"/>
      <c r="K6" s="234"/>
      <c r="L6" s="234"/>
      <c r="M6" s="234"/>
      <c r="N6" s="234"/>
      <c r="O6" s="234"/>
      <c r="P6" s="234"/>
      <c r="Q6" s="234"/>
      <c r="R6" s="234"/>
      <c r="S6" s="234"/>
      <c r="T6" s="924"/>
      <c r="U6" s="136"/>
      <c r="V6" s="136"/>
      <c r="W6" s="136"/>
      <c r="X6" s="136"/>
      <c r="Y6" s="136"/>
      <c r="Z6" s="136"/>
      <c r="AA6" s="136"/>
      <c r="AB6" s="136"/>
      <c r="AC6" s="136"/>
      <c r="AD6" s="136"/>
      <c r="AE6" s="136"/>
      <c r="AF6" s="136"/>
      <c r="AG6" s="136"/>
      <c r="AH6" s="136"/>
      <c r="AI6" s="136"/>
      <c r="AJ6" s="136"/>
      <c r="AK6" s="136"/>
    </row>
    <row r="7" spans="2:37" s="233" customFormat="1" x14ac:dyDescent="0.25">
      <c r="B7" s="921"/>
      <c r="C7" s="904" t="s">
        <v>1232</v>
      </c>
      <c r="D7" s="905" t="s">
        <v>1233</v>
      </c>
      <c r="E7" s="234"/>
      <c r="F7" s="904" t="s">
        <v>1232</v>
      </c>
      <c r="G7" s="905" t="s">
        <v>1234</v>
      </c>
      <c r="H7" s="234"/>
      <c r="I7" s="904" t="s">
        <v>1232</v>
      </c>
      <c r="J7" s="905" t="s">
        <v>1235</v>
      </c>
      <c r="K7" s="234"/>
      <c r="L7" s="904" t="s">
        <v>1232</v>
      </c>
      <c r="M7" s="905" t="s">
        <v>1236</v>
      </c>
      <c r="N7" s="234"/>
      <c r="O7" s="904" t="s">
        <v>1232</v>
      </c>
      <c r="P7" s="905" t="s">
        <v>1237</v>
      </c>
      <c r="Q7" s="234"/>
      <c r="R7" s="904" t="s">
        <v>1232</v>
      </c>
      <c r="S7" s="905" t="s">
        <v>1238</v>
      </c>
      <c r="T7" s="924"/>
      <c r="U7" s="136"/>
      <c r="V7" s="136"/>
      <c r="W7" s="136"/>
      <c r="X7" s="136"/>
      <c r="Y7" s="136"/>
      <c r="Z7" s="136"/>
      <c r="AA7" s="136"/>
      <c r="AB7" s="136"/>
      <c r="AC7" s="136"/>
      <c r="AD7" s="136"/>
      <c r="AE7" s="136"/>
      <c r="AF7" s="136"/>
      <c r="AG7" s="136"/>
      <c r="AH7" s="136"/>
      <c r="AI7" s="136"/>
      <c r="AJ7" s="136"/>
      <c r="AK7" s="136"/>
    </row>
    <row r="8" spans="2:37" s="233" customFormat="1" ht="30" x14ac:dyDescent="0.25">
      <c r="B8" s="921"/>
      <c r="C8" s="890" t="s">
        <v>1239</v>
      </c>
      <c r="D8" s="891" t="s">
        <v>1240</v>
      </c>
      <c r="E8" s="906"/>
      <c r="F8" s="890" t="s">
        <v>1239</v>
      </c>
      <c r="G8" s="891" t="s">
        <v>1240</v>
      </c>
      <c r="H8" s="906"/>
      <c r="I8" s="890" t="s">
        <v>1239</v>
      </c>
      <c r="J8" s="891" t="s">
        <v>1240</v>
      </c>
      <c r="K8" s="234"/>
      <c r="L8" s="890" t="s">
        <v>1239</v>
      </c>
      <c r="M8" s="891" t="s">
        <v>1240</v>
      </c>
      <c r="N8" s="234"/>
      <c r="O8" s="890" t="s">
        <v>1239</v>
      </c>
      <c r="P8" s="891" t="s">
        <v>1240</v>
      </c>
      <c r="Q8" s="234"/>
      <c r="R8" s="890" t="s">
        <v>1239</v>
      </c>
      <c r="S8" s="891" t="s">
        <v>1240</v>
      </c>
      <c r="T8" s="924"/>
      <c r="U8" s="136"/>
      <c r="V8" s="136"/>
      <c r="W8" s="136"/>
      <c r="X8" s="136"/>
      <c r="Y8" s="136"/>
      <c r="Z8" s="136"/>
      <c r="AA8" s="136"/>
      <c r="AB8" s="136"/>
      <c r="AC8" s="136"/>
      <c r="AD8" s="136"/>
      <c r="AE8" s="136"/>
      <c r="AF8" s="136"/>
      <c r="AG8" s="136"/>
      <c r="AH8" s="136"/>
      <c r="AI8" s="136"/>
      <c r="AJ8" s="136"/>
      <c r="AK8" s="136"/>
    </row>
    <row r="9" spans="2:37" s="136" customFormat="1" x14ac:dyDescent="0.25">
      <c r="B9" s="922"/>
      <c r="C9" s="892"/>
      <c r="D9" s="893"/>
      <c r="E9" s="907"/>
      <c r="F9" s="894"/>
      <c r="G9" s="895"/>
      <c r="H9" s="907"/>
      <c r="I9" s="894"/>
      <c r="J9" s="895"/>
      <c r="K9" s="907"/>
      <c r="L9" s="894"/>
      <c r="M9" s="895"/>
      <c r="N9" s="907"/>
      <c r="O9" s="894"/>
      <c r="P9" s="895"/>
      <c r="Q9" s="907"/>
      <c r="R9" s="894"/>
      <c r="S9" s="895"/>
      <c r="T9" s="924"/>
    </row>
    <row r="10" spans="2:37" s="136" customFormat="1" x14ac:dyDescent="0.25">
      <c r="B10" s="922"/>
      <c r="C10" s="894"/>
      <c r="D10" s="895"/>
      <c r="E10" s="907"/>
      <c r="F10" s="894"/>
      <c r="G10" s="895"/>
      <c r="H10" s="907"/>
      <c r="I10" s="894"/>
      <c r="J10" s="895"/>
      <c r="K10" s="907"/>
      <c r="L10" s="894"/>
      <c r="M10" s="895"/>
      <c r="N10" s="907"/>
      <c r="O10" s="894"/>
      <c r="P10" s="895"/>
      <c r="Q10" s="907"/>
      <c r="R10" s="894"/>
      <c r="S10" s="895"/>
      <c r="T10" s="924"/>
    </row>
    <row r="11" spans="2:37" s="136" customFormat="1" x14ac:dyDescent="0.25">
      <c r="B11" s="922"/>
      <c r="C11" s="894"/>
      <c r="D11" s="895"/>
      <c r="E11" s="907"/>
      <c r="F11" s="894"/>
      <c r="G11" s="895"/>
      <c r="H11" s="907"/>
      <c r="I11" s="894"/>
      <c r="J11" s="895"/>
      <c r="K11" s="907"/>
      <c r="L11" s="894"/>
      <c r="M11" s="895"/>
      <c r="N11" s="907"/>
      <c r="O11" s="894"/>
      <c r="P11" s="895"/>
      <c r="Q11" s="907"/>
      <c r="R11" s="894"/>
      <c r="S11" s="895"/>
      <c r="T11" s="924"/>
    </row>
    <row r="12" spans="2:37" s="136" customFormat="1" x14ac:dyDescent="0.25">
      <c r="B12" s="922"/>
      <c r="C12" s="894"/>
      <c r="D12" s="895"/>
      <c r="E12" s="907"/>
      <c r="F12" s="894"/>
      <c r="G12" s="895"/>
      <c r="H12" s="907"/>
      <c r="I12" s="894"/>
      <c r="J12" s="895"/>
      <c r="K12" s="907"/>
      <c r="L12" s="894"/>
      <c r="M12" s="895"/>
      <c r="N12" s="907"/>
      <c r="O12" s="894"/>
      <c r="P12" s="895"/>
      <c r="Q12" s="907"/>
      <c r="R12" s="894"/>
      <c r="S12" s="895"/>
      <c r="T12" s="924"/>
    </row>
    <row r="13" spans="2:37" s="136" customFormat="1" x14ac:dyDescent="0.25">
      <c r="B13" s="922"/>
      <c r="C13" s="894"/>
      <c r="D13" s="895"/>
      <c r="E13" s="907"/>
      <c r="F13" s="894"/>
      <c r="G13" s="895"/>
      <c r="H13" s="907"/>
      <c r="I13" s="894"/>
      <c r="J13" s="895"/>
      <c r="K13" s="907"/>
      <c r="L13" s="894"/>
      <c r="M13" s="895"/>
      <c r="N13" s="907"/>
      <c r="O13" s="894"/>
      <c r="P13" s="895"/>
      <c r="Q13" s="907"/>
      <c r="R13" s="894"/>
      <c r="S13" s="895"/>
      <c r="T13" s="924"/>
    </row>
    <row r="14" spans="2:37" s="136" customFormat="1" x14ac:dyDescent="0.25">
      <c r="B14" s="922"/>
      <c r="C14" s="894"/>
      <c r="D14" s="895"/>
      <c r="E14" s="907"/>
      <c r="F14" s="894"/>
      <c r="G14" s="895"/>
      <c r="H14" s="907"/>
      <c r="I14" s="894"/>
      <c r="J14" s="895"/>
      <c r="K14" s="907"/>
      <c r="L14" s="894"/>
      <c r="M14" s="895"/>
      <c r="N14" s="907"/>
      <c r="O14" s="894"/>
      <c r="P14" s="895"/>
      <c r="Q14" s="907"/>
      <c r="R14" s="894"/>
      <c r="S14" s="895"/>
      <c r="T14" s="924"/>
    </row>
    <row r="15" spans="2:37" s="136" customFormat="1" x14ac:dyDescent="0.25">
      <c r="B15" s="922"/>
      <c r="C15" s="894"/>
      <c r="D15" s="895"/>
      <c r="E15" s="907"/>
      <c r="F15" s="894"/>
      <c r="G15" s="895"/>
      <c r="H15" s="907"/>
      <c r="I15" s="894"/>
      <c r="J15" s="895"/>
      <c r="K15" s="907"/>
      <c r="L15" s="894"/>
      <c r="M15" s="895"/>
      <c r="N15" s="907"/>
      <c r="O15" s="894"/>
      <c r="P15" s="895"/>
      <c r="Q15" s="907"/>
      <c r="R15" s="894"/>
      <c r="S15" s="895"/>
      <c r="T15" s="924"/>
    </row>
    <row r="16" spans="2:37" s="136" customFormat="1" x14ac:dyDescent="0.25">
      <c r="B16" s="922"/>
      <c r="C16" s="894"/>
      <c r="D16" s="895"/>
      <c r="E16" s="907"/>
      <c r="F16" s="894"/>
      <c r="G16" s="895"/>
      <c r="H16" s="907"/>
      <c r="I16" s="894"/>
      <c r="J16" s="895"/>
      <c r="K16" s="907"/>
      <c r="L16" s="894"/>
      <c r="M16" s="895"/>
      <c r="N16" s="907"/>
      <c r="O16" s="894"/>
      <c r="P16" s="895"/>
      <c r="Q16" s="907"/>
      <c r="R16" s="894"/>
      <c r="S16" s="895"/>
      <c r="T16" s="924"/>
    </row>
    <row r="17" spans="2:37" s="136" customFormat="1" x14ac:dyDescent="0.25">
      <c r="B17" s="922"/>
      <c r="C17" s="894"/>
      <c r="D17" s="895"/>
      <c r="E17" s="907"/>
      <c r="F17" s="894"/>
      <c r="G17" s="895"/>
      <c r="H17" s="907"/>
      <c r="I17" s="894"/>
      <c r="J17" s="895"/>
      <c r="K17" s="907"/>
      <c r="L17" s="894"/>
      <c r="M17" s="895"/>
      <c r="N17" s="907"/>
      <c r="O17" s="894"/>
      <c r="P17" s="895"/>
      <c r="Q17" s="907"/>
      <c r="R17" s="894"/>
      <c r="S17" s="895"/>
      <c r="T17" s="924"/>
    </row>
    <row r="18" spans="2:37" s="136" customFormat="1" x14ac:dyDescent="0.25">
      <c r="B18" s="922"/>
      <c r="C18" s="896"/>
      <c r="D18" s="897"/>
      <c r="E18" s="907"/>
      <c r="F18" s="896"/>
      <c r="G18" s="897"/>
      <c r="H18" s="907"/>
      <c r="I18" s="896"/>
      <c r="J18" s="897"/>
      <c r="K18" s="907"/>
      <c r="L18" s="896"/>
      <c r="M18" s="897"/>
      <c r="N18" s="907"/>
      <c r="O18" s="896"/>
      <c r="P18" s="897"/>
      <c r="Q18" s="907"/>
      <c r="R18" s="896"/>
      <c r="S18" s="897"/>
      <c r="T18" s="924"/>
    </row>
    <row r="19" spans="2:37" x14ac:dyDescent="0.25">
      <c r="B19" s="923"/>
      <c r="C19" s="875">
        <f>SUM(C9:C18)</f>
        <v>0</v>
      </c>
      <c r="D19" s="876">
        <f>IF(C19=0,0,(C9*D9+C10*D10+C11*D11+C12*D12+C13*D13+C14*D14+C15*D15+C16*D16+C17*D17+C18*D18)/C19)</f>
        <v>0</v>
      </c>
      <c r="E19" s="15"/>
      <c r="F19" s="875">
        <f>SUM(F9:F18)</f>
        <v>0</v>
      </c>
      <c r="G19" s="876">
        <f>IF(F19=0,0,(F9*G9+F10*G10+F11*G11+F12*G12+F13*G13+F14*G14+F15*G15+F16*G16+F17*G17+F18*G18)/F19)</f>
        <v>0</v>
      </c>
      <c r="H19" s="15"/>
      <c r="I19" s="875">
        <f>SUM(I9:I18)</f>
        <v>0</v>
      </c>
      <c r="J19" s="876">
        <f>IF(I19=0,0,(I9*J9+I10*J10+I11*J11+I12*J12+I13*J13+I14*J14+I15*J15+I16*J16+I17*J17+I18*J18)/I19)</f>
        <v>0</v>
      </c>
      <c r="K19" s="15"/>
      <c r="L19" s="875">
        <f>SUM(L9:L18)</f>
        <v>0</v>
      </c>
      <c r="M19" s="876">
        <f>IF(L19=0,0,(L9*M9+L10*M10+L11*M11+L12*M12+L13*M13+L14*M14+L15*M15+L16*M16+L17*M17+L18*M18)/L19)</f>
        <v>0</v>
      </c>
      <c r="N19" s="15"/>
      <c r="O19" s="875">
        <f>SUM(O9:O18)</f>
        <v>0</v>
      </c>
      <c r="P19" s="876">
        <f>IF(O19=0,0,(O9*P9+O10*P10+O11*P11+O12*P12+O13*P13+O14*P14+O15*P15+O16*P16+O17*P17+O18*P18)/O19)</f>
        <v>0</v>
      </c>
      <c r="Q19" s="15"/>
      <c r="R19" s="875">
        <f>SUM(R9:R18)</f>
        <v>0</v>
      </c>
      <c r="S19" s="876">
        <f>IF(R19=0,0,(R9*S9+R10*S10+R11*S11+R12*S12+R13*S13+R14*S14+R15*S15+R16*S16+R17*S17+R18*S18)/R19)</f>
        <v>0</v>
      </c>
      <c r="T19" s="924"/>
    </row>
    <row r="20" spans="2:37" s="233" customFormat="1" ht="15.75" thickBot="1" x14ac:dyDescent="0.3">
      <c r="B20" s="918"/>
      <c r="C20" s="919"/>
      <c r="D20" s="919"/>
      <c r="E20" s="919"/>
      <c r="F20" s="919"/>
      <c r="G20" s="919"/>
      <c r="H20" s="919"/>
      <c r="I20" s="919"/>
      <c r="J20" s="919"/>
      <c r="K20" s="919"/>
      <c r="L20" s="919"/>
      <c r="M20" s="919"/>
      <c r="N20" s="919"/>
      <c r="O20" s="919"/>
      <c r="P20" s="919"/>
      <c r="Q20" s="919"/>
      <c r="R20" s="919"/>
      <c r="S20" s="919"/>
      <c r="T20" s="920"/>
      <c r="U20" s="136"/>
      <c r="V20" s="136"/>
      <c r="W20" s="136"/>
      <c r="X20" s="136"/>
      <c r="Y20" s="136"/>
      <c r="Z20" s="136"/>
      <c r="AA20" s="136"/>
      <c r="AB20" s="136"/>
      <c r="AC20" s="136"/>
      <c r="AD20" s="136"/>
      <c r="AE20" s="136"/>
      <c r="AF20" s="136"/>
      <c r="AG20" s="136"/>
      <c r="AH20" s="136"/>
      <c r="AI20" s="136"/>
      <c r="AJ20" s="136"/>
      <c r="AK20" s="136"/>
    </row>
    <row r="21" spans="2:37" s="233" customFormat="1" ht="15.75" thickBot="1" x14ac:dyDescent="0.3">
      <c r="T21" s="136"/>
      <c r="U21" s="136"/>
      <c r="V21" s="136"/>
      <c r="W21" s="136"/>
      <c r="X21" s="136"/>
      <c r="Y21" s="136"/>
      <c r="Z21" s="136"/>
      <c r="AA21" s="136"/>
      <c r="AB21" s="136"/>
      <c r="AC21" s="136"/>
      <c r="AD21" s="136"/>
      <c r="AE21" s="136"/>
      <c r="AF21" s="136"/>
      <c r="AG21" s="136"/>
      <c r="AH21" s="136"/>
      <c r="AI21" s="136"/>
      <c r="AJ21" s="136"/>
      <c r="AK21" s="136"/>
    </row>
    <row r="22" spans="2:37" s="233" customFormat="1" ht="15.75" thickBot="1" x14ac:dyDescent="0.3">
      <c r="B22" s="925"/>
      <c r="C22" s="926"/>
      <c r="D22" s="926"/>
      <c r="E22" s="926"/>
      <c r="F22" s="926"/>
      <c r="G22" s="926"/>
      <c r="H22" s="926"/>
      <c r="I22" s="926"/>
      <c r="J22" s="926"/>
      <c r="K22" s="926"/>
      <c r="L22" s="926"/>
      <c r="M22" s="926"/>
      <c r="N22" s="926"/>
      <c r="O22" s="926"/>
      <c r="P22" s="926"/>
      <c r="Q22" s="926"/>
      <c r="R22" s="926"/>
      <c r="S22" s="926"/>
      <c r="T22" s="927"/>
      <c r="U22" s="136"/>
      <c r="V22" s="136"/>
      <c r="W22" s="136"/>
      <c r="X22" s="136"/>
      <c r="Y22" s="136"/>
      <c r="Z22" s="136"/>
      <c r="AA22" s="136"/>
      <c r="AB22" s="136"/>
      <c r="AC22" s="136"/>
      <c r="AD22" s="136"/>
      <c r="AE22" s="136"/>
      <c r="AF22" s="136"/>
      <c r="AG22" s="136"/>
      <c r="AH22" s="136"/>
      <c r="AI22" s="136"/>
      <c r="AJ22" s="136"/>
      <c r="AK22" s="136"/>
    </row>
    <row r="23" spans="2:37" s="233" customFormat="1" ht="27" thickBot="1" x14ac:dyDescent="0.45">
      <c r="B23" s="931"/>
      <c r="C23" s="898" t="s">
        <v>1274</v>
      </c>
      <c r="D23" s="899"/>
      <c r="E23" s="899"/>
      <c r="F23" s="899"/>
      <c r="G23" s="899"/>
      <c r="H23" s="899"/>
      <c r="I23" s="899"/>
      <c r="J23" s="899"/>
      <c r="K23" s="899"/>
      <c r="L23" s="899"/>
      <c r="M23" s="899"/>
      <c r="N23" s="899"/>
      <c r="O23" s="899"/>
      <c r="P23" s="899"/>
      <c r="Q23" s="899"/>
      <c r="R23" s="899"/>
      <c r="S23" s="900"/>
      <c r="T23" s="935"/>
      <c r="U23" s="136"/>
      <c r="V23" s="136"/>
      <c r="W23" s="136"/>
      <c r="X23" s="136"/>
      <c r="Y23" s="136"/>
      <c r="Z23" s="136"/>
      <c r="AA23" s="136"/>
      <c r="AB23" s="136"/>
      <c r="AC23" s="136"/>
      <c r="AD23" s="136"/>
      <c r="AE23" s="136"/>
      <c r="AF23" s="136"/>
      <c r="AG23" s="136"/>
      <c r="AH23" s="136"/>
      <c r="AI23" s="136"/>
      <c r="AJ23" s="136"/>
      <c r="AK23" s="136"/>
    </row>
    <row r="24" spans="2:37" s="233" customFormat="1" x14ac:dyDescent="0.25">
      <c r="B24" s="931"/>
      <c r="C24" s="234"/>
      <c r="D24" s="234"/>
      <c r="E24" s="234"/>
      <c r="F24" s="234"/>
      <c r="G24" s="234"/>
      <c r="H24" s="234"/>
      <c r="I24" s="234"/>
      <c r="J24" s="234"/>
      <c r="K24" s="234"/>
      <c r="L24" s="234"/>
      <c r="M24" s="234"/>
      <c r="N24" s="234"/>
      <c r="O24" s="234"/>
      <c r="P24" s="234"/>
      <c r="Q24" s="234"/>
      <c r="R24" s="234"/>
      <c r="S24" s="234"/>
      <c r="T24" s="935"/>
      <c r="U24" s="136"/>
      <c r="V24" s="136"/>
      <c r="W24" s="136"/>
      <c r="X24" s="136"/>
      <c r="Y24" s="136"/>
      <c r="Z24" s="136"/>
      <c r="AA24" s="136"/>
      <c r="AB24" s="136"/>
      <c r="AC24" s="136"/>
      <c r="AD24" s="136"/>
      <c r="AE24" s="136"/>
      <c r="AF24" s="136"/>
      <c r="AG24" s="136"/>
      <c r="AH24" s="136"/>
      <c r="AI24" s="136"/>
      <c r="AJ24" s="136"/>
      <c r="AK24" s="136"/>
    </row>
    <row r="25" spans="2:37" s="233" customFormat="1" ht="18.75" x14ac:dyDescent="0.3">
      <c r="B25" s="931"/>
      <c r="C25" s="908" t="s">
        <v>1241</v>
      </c>
      <c r="D25" s="909"/>
      <c r="E25" s="909"/>
      <c r="F25" s="909"/>
      <c r="G25" s="909"/>
      <c r="H25" s="909"/>
      <c r="I25" s="909"/>
      <c r="J25" s="909"/>
      <c r="K25" s="909"/>
      <c r="L25" s="909"/>
      <c r="M25" s="909"/>
      <c r="N25" s="909"/>
      <c r="O25" s="909"/>
      <c r="P25" s="909"/>
      <c r="Q25" s="909"/>
      <c r="R25" s="909"/>
      <c r="S25" s="909"/>
      <c r="T25" s="935"/>
      <c r="U25" s="136"/>
      <c r="V25" s="136"/>
      <c r="W25" s="136"/>
      <c r="X25" s="136"/>
      <c r="Y25" s="136"/>
      <c r="Z25" s="136"/>
      <c r="AA25" s="136"/>
      <c r="AB25" s="136"/>
      <c r="AC25" s="136"/>
      <c r="AD25" s="136"/>
      <c r="AE25" s="136"/>
      <c r="AF25" s="136"/>
      <c r="AG25" s="136"/>
      <c r="AH25" s="136"/>
      <c r="AI25" s="136"/>
      <c r="AJ25" s="136"/>
      <c r="AK25" s="136"/>
    </row>
    <row r="26" spans="2:37" s="233" customFormat="1" x14ac:dyDescent="0.25">
      <c r="B26" s="931"/>
      <c r="C26" s="904" t="s">
        <v>1232</v>
      </c>
      <c r="D26" s="905" t="s">
        <v>1233</v>
      </c>
      <c r="E26" s="234"/>
      <c r="F26" s="904" t="s">
        <v>1232</v>
      </c>
      <c r="G26" s="905" t="s">
        <v>1234</v>
      </c>
      <c r="H26" s="234"/>
      <c r="I26" s="904" t="s">
        <v>1232</v>
      </c>
      <c r="J26" s="905" t="s">
        <v>1235</v>
      </c>
      <c r="K26" s="234"/>
      <c r="L26" s="904" t="s">
        <v>1232</v>
      </c>
      <c r="M26" s="905" t="s">
        <v>1236</v>
      </c>
      <c r="N26" s="234"/>
      <c r="O26" s="904" t="s">
        <v>1232</v>
      </c>
      <c r="P26" s="905" t="s">
        <v>1237</v>
      </c>
      <c r="Q26" s="234"/>
      <c r="R26" s="904" t="s">
        <v>1232</v>
      </c>
      <c r="S26" s="905" t="s">
        <v>1238</v>
      </c>
      <c r="T26" s="935"/>
      <c r="U26" s="136"/>
      <c r="V26" s="136"/>
      <c r="W26" s="136"/>
      <c r="X26" s="136"/>
      <c r="Y26" s="136"/>
      <c r="Z26" s="136"/>
      <c r="AA26" s="136"/>
      <c r="AB26" s="136"/>
      <c r="AC26" s="136"/>
      <c r="AD26" s="136"/>
      <c r="AE26" s="136"/>
      <c r="AF26" s="136"/>
      <c r="AG26" s="136"/>
      <c r="AH26" s="136"/>
      <c r="AI26" s="136"/>
      <c r="AJ26" s="136"/>
      <c r="AK26" s="136"/>
    </row>
    <row r="27" spans="2:37" s="260" customFormat="1" ht="30" x14ac:dyDescent="0.25">
      <c r="B27" s="932"/>
      <c r="C27" s="890" t="s">
        <v>1239</v>
      </c>
      <c r="D27" s="891" t="s">
        <v>1240</v>
      </c>
      <c r="E27" s="906"/>
      <c r="F27" s="890" t="s">
        <v>1239</v>
      </c>
      <c r="G27" s="891" t="s">
        <v>1240</v>
      </c>
      <c r="H27" s="906"/>
      <c r="I27" s="890" t="s">
        <v>1239</v>
      </c>
      <c r="J27" s="891" t="s">
        <v>1240</v>
      </c>
      <c r="K27" s="234"/>
      <c r="L27" s="890" t="s">
        <v>1239</v>
      </c>
      <c r="M27" s="891" t="s">
        <v>1240</v>
      </c>
      <c r="N27" s="234"/>
      <c r="O27" s="890" t="s">
        <v>1239</v>
      </c>
      <c r="P27" s="891" t="s">
        <v>1240</v>
      </c>
      <c r="Q27" s="234"/>
      <c r="R27" s="890" t="s">
        <v>1239</v>
      </c>
      <c r="S27" s="891" t="s">
        <v>1240</v>
      </c>
      <c r="T27" s="936"/>
      <c r="U27" s="901"/>
      <c r="V27" s="901"/>
      <c r="W27" s="901"/>
      <c r="X27" s="901"/>
      <c r="Y27" s="901"/>
      <c r="Z27" s="901"/>
      <c r="AA27" s="901"/>
      <c r="AB27" s="901"/>
      <c r="AC27" s="901"/>
      <c r="AD27" s="901"/>
      <c r="AE27" s="901"/>
      <c r="AF27" s="901"/>
      <c r="AG27" s="901"/>
      <c r="AH27" s="901"/>
      <c r="AI27" s="901"/>
      <c r="AJ27" s="901"/>
      <c r="AK27" s="901"/>
    </row>
    <row r="28" spans="2:37" s="136" customFormat="1" x14ac:dyDescent="0.25">
      <c r="B28" s="933"/>
      <c r="C28" s="894"/>
      <c r="D28" s="895"/>
      <c r="E28" s="907"/>
      <c r="F28" s="894"/>
      <c r="G28" s="895"/>
      <c r="H28" s="907"/>
      <c r="I28" s="894"/>
      <c r="J28" s="895"/>
      <c r="K28" s="907"/>
      <c r="L28" s="894"/>
      <c r="M28" s="895"/>
      <c r="N28" s="907"/>
      <c r="O28" s="894"/>
      <c r="P28" s="895"/>
      <c r="Q28" s="907"/>
      <c r="R28" s="894"/>
      <c r="S28" s="895"/>
      <c r="T28" s="935"/>
    </row>
    <row r="29" spans="2:37" s="136" customFormat="1" x14ac:dyDescent="0.25">
      <c r="B29" s="933"/>
      <c r="C29" s="894"/>
      <c r="D29" s="895"/>
      <c r="E29" s="907"/>
      <c r="F29" s="894"/>
      <c r="G29" s="895"/>
      <c r="H29" s="907"/>
      <c r="I29" s="894"/>
      <c r="J29" s="895"/>
      <c r="K29" s="907"/>
      <c r="L29" s="894"/>
      <c r="M29" s="895"/>
      <c r="N29" s="907"/>
      <c r="O29" s="894"/>
      <c r="P29" s="895"/>
      <c r="Q29" s="907"/>
      <c r="R29" s="894"/>
      <c r="S29" s="895"/>
      <c r="T29" s="935"/>
    </row>
    <row r="30" spans="2:37" s="136" customFormat="1" x14ac:dyDescent="0.25">
      <c r="B30" s="933"/>
      <c r="C30" s="894"/>
      <c r="D30" s="895"/>
      <c r="E30" s="907"/>
      <c r="F30" s="894"/>
      <c r="G30" s="895"/>
      <c r="H30" s="907"/>
      <c r="I30" s="894"/>
      <c r="J30" s="895"/>
      <c r="K30" s="907"/>
      <c r="L30" s="894"/>
      <c r="M30" s="895"/>
      <c r="N30" s="907"/>
      <c r="O30" s="894"/>
      <c r="P30" s="895"/>
      <c r="Q30" s="907"/>
      <c r="R30" s="894"/>
      <c r="S30" s="895"/>
      <c r="T30" s="935"/>
    </row>
    <row r="31" spans="2:37" s="136" customFormat="1" x14ac:dyDescent="0.25">
      <c r="B31" s="933"/>
      <c r="C31" s="894"/>
      <c r="D31" s="895"/>
      <c r="E31" s="907"/>
      <c r="F31" s="894"/>
      <c r="G31" s="895"/>
      <c r="H31" s="907"/>
      <c r="I31" s="894"/>
      <c r="J31" s="895"/>
      <c r="K31" s="907"/>
      <c r="L31" s="894"/>
      <c r="M31" s="895"/>
      <c r="N31" s="907"/>
      <c r="O31" s="894"/>
      <c r="P31" s="895"/>
      <c r="Q31" s="907"/>
      <c r="R31" s="894"/>
      <c r="S31" s="895"/>
      <c r="T31" s="935"/>
    </row>
    <row r="32" spans="2:37" s="136" customFormat="1" x14ac:dyDescent="0.25">
      <c r="B32" s="933"/>
      <c r="C32" s="894"/>
      <c r="D32" s="895"/>
      <c r="E32" s="907"/>
      <c r="F32" s="894"/>
      <c r="G32" s="895"/>
      <c r="H32" s="907"/>
      <c r="I32" s="894"/>
      <c r="J32" s="895"/>
      <c r="K32" s="907"/>
      <c r="L32" s="894"/>
      <c r="M32" s="895"/>
      <c r="N32" s="907"/>
      <c r="O32" s="894"/>
      <c r="P32" s="895"/>
      <c r="Q32" s="907"/>
      <c r="R32" s="894"/>
      <c r="S32" s="895"/>
      <c r="T32" s="935"/>
    </row>
    <row r="33" spans="2:20" s="136" customFormat="1" x14ac:dyDescent="0.25">
      <c r="B33" s="933"/>
      <c r="C33" s="894"/>
      <c r="D33" s="895"/>
      <c r="E33" s="907"/>
      <c r="F33" s="894"/>
      <c r="G33" s="895"/>
      <c r="H33" s="907"/>
      <c r="I33" s="894"/>
      <c r="J33" s="895"/>
      <c r="K33" s="907"/>
      <c r="L33" s="894"/>
      <c r="M33" s="895"/>
      <c r="N33" s="907"/>
      <c r="O33" s="894"/>
      <c r="P33" s="895"/>
      <c r="Q33" s="907"/>
      <c r="R33" s="894"/>
      <c r="S33" s="895"/>
      <c r="T33" s="935"/>
    </row>
    <row r="34" spans="2:20" s="136" customFormat="1" x14ac:dyDescent="0.25">
      <c r="B34" s="933"/>
      <c r="C34" s="894"/>
      <c r="D34" s="895"/>
      <c r="E34" s="907"/>
      <c r="F34" s="894"/>
      <c r="G34" s="895"/>
      <c r="H34" s="907"/>
      <c r="I34" s="894"/>
      <c r="J34" s="895"/>
      <c r="K34" s="907"/>
      <c r="L34" s="894"/>
      <c r="M34" s="895"/>
      <c r="N34" s="907"/>
      <c r="O34" s="894"/>
      <c r="P34" s="895"/>
      <c r="Q34" s="907"/>
      <c r="R34" s="894"/>
      <c r="S34" s="895"/>
      <c r="T34" s="935"/>
    </row>
    <row r="35" spans="2:20" s="136" customFormat="1" x14ac:dyDescent="0.25">
      <c r="B35" s="933"/>
      <c r="C35" s="894"/>
      <c r="D35" s="895"/>
      <c r="E35" s="907"/>
      <c r="F35" s="894"/>
      <c r="G35" s="895"/>
      <c r="H35" s="907"/>
      <c r="I35" s="894"/>
      <c r="J35" s="895"/>
      <c r="K35" s="907"/>
      <c r="L35" s="894"/>
      <c r="M35" s="895"/>
      <c r="N35" s="907"/>
      <c r="O35" s="894"/>
      <c r="P35" s="895"/>
      <c r="Q35" s="907"/>
      <c r="R35" s="894"/>
      <c r="S35" s="895"/>
      <c r="T35" s="935"/>
    </row>
    <row r="36" spans="2:20" s="136" customFormat="1" x14ac:dyDescent="0.25">
      <c r="B36" s="933"/>
      <c r="C36" s="894"/>
      <c r="D36" s="895"/>
      <c r="E36" s="907"/>
      <c r="F36" s="894"/>
      <c r="G36" s="895"/>
      <c r="H36" s="907"/>
      <c r="I36" s="894"/>
      <c r="J36" s="895"/>
      <c r="K36" s="907"/>
      <c r="L36" s="894"/>
      <c r="M36" s="895"/>
      <c r="N36" s="907"/>
      <c r="O36" s="894"/>
      <c r="P36" s="895"/>
      <c r="Q36" s="907"/>
      <c r="R36" s="894"/>
      <c r="S36" s="895"/>
      <c r="T36" s="935"/>
    </row>
    <row r="37" spans="2:20" s="136" customFormat="1" x14ac:dyDescent="0.25">
      <c r="B37" s="933"/>
      <c r="C37" s="896"/>
      <c r="D37" s="897"/>
      <c r="E37" s="907"/>
      <c r="F37" s="896"/>
      <c r="G37" s="897"/>
      <c r="H37" s="907"/>
      <c r="I37" s="896"/>
      <c r="J37" s="897"/>
      <c r="K37" s="907"/>
      <c r="L37" s="896"/>
      <c r="M37" s="897"/>
      <c r="N37" s="907"/>
      <c r="O37" s="896"/>
      <c r="P37" s="897"/>
      <c r="Q37" s="907"/>
      <c r="R37" s="896"/>
      <c r="S37" s="897"/>
      <c r="T37" s="935"/>
    </row>
    <row r="38" spans="2:20" x14ac:dyDescent="0.25">
      <c r="B38" s="934"/>
      <c r="C38" s="875">
        <f>SUM(C28:C37)</f>
        <v>0</v>
      </c>
      <c r="D38" s="876">
        <f>IF(C38=0,0,(C28*D28+C29*D29+C30*D30+C31*D31+C32*D32+C33*D33+C34*D34+C35*D35+C36*D36+C37*D37)/C38)</f>
        <v>0</v>
      </c>
      <c r="E38" s="15"/>
      <c r="F38" s="875">
        <f>SUM(F28:F37)</f>
        <v>0</v>
      </c>
      <c r="G38" s="876">
        <f>IF(F38=0,0,(F28*G28+F29*G29+F30*G30+F31*G31+F32*G32+F33*G33+F34*G34+F35*G35+F36*G36+F37*G37)/F38)</f>
        <v>0</v>
      </c>
      <c r="H38" s="15"/>
      <c r="I38" s="875">
        <f>SUM(I28:I37)</f>
        <v>0</v>
      </c>
      <c r="J38" s="876">
        <f>IF(I38=0,0,(I28*J28+I29*J29+I30*J30+I31*J31+I32*J32+I33*J33+I34*J34+I35*J35+I36*J36+I37*J37)/I38)</f>
        <v>0</v>
      </c>
      <c r="K38" s="15"/>
      <c r="L38" s="875">
        <f>SUM(L28:L37)</f>
        <v>0</v>
      </c>
      <c r="M38" s="876">
        <f>IF(L38=0,0,(L28*M28+L29*M29+L30*M30+L31*M31+L32*M32+L33*M33+L34*M34+L35*M35+L36*M36+L37*M37)/L38)</f>
        <v>0</v>
      </c>
      <c r="N38" s="15"/>
      <c r="O38" s="875">
        <f>SUM(O28:O37)</f>
        <v>0</v>
      </c>
      <c r="P38" s="876">
        <f>IF(O38=0,0,(O28*P28+O29*P29+O30*P30+O31*P31+O32*P32+O33*P33+O34*P34+O35*P35+O36*P36+O37*P37)/O38)</f>
        <v>0</v>
      </c>
      <c r="Q38" s="15"/>
      <c r="R38" s="875">
        <f>SUM(R28:R37)</f>
        <v>0</v>
      </c>
      <c r="S38" s="876">
        <f>IF(R38=0,0,(R28*S28+R29*S29+R30*S30+R31*S31+R32*S32+R33*S33+R34*S34+R35*S35+R36*S36+R37*S37)/R38)</f>
        <v>0</v>
      </c>
      <c r="T38" s="935"/>
    </row>
    <row r="39" spans="2:20" x14ac:dyDescent="0.25">
      <c r="B39" s="934"/>
      <c r="C39" s="15"/>
      <c r="D39" s="15"/>
      <c r="E39" s="15"/>
      <c r="F39" s="15"/>
      <c r="G39" s="15"/>
      <c r="H39" s="15"/>
      <c r="I39" s="15"/>
      <c r="J39" s="15"/>
      <c r="K39" s="15"/>
      <c r="L39" s="15"/>
      <c r="M39" s="15"/>
      <c r="N39" s="15"/>
      <c r="O39" s="15"/>
      <c r="P39" s="15"/>
      <c r="Q39" s="15"/>
      <c r="R39" s="15"/>
      <c r="S39" s="15"/>
      <c r="T39" s="935"/>
    </row>
    <row r="40" spans="2:20" ht="18.75" x14ac:dyDescent="0.3">
      <c r="B40" s="934"/>
      <c r="C40" s="910" t="s">
        <v>1269</v>
      </c>
      <c r="D40" s="911"/>
      <c r="E40" s="911"/>
      <c r="F40" s="911"/>
      <c r="G40" s="911"/>
      <c r="H40" s="911"/>
      <c r="I40" s="911"/>
      <c r="J40" s="911"/>
      <c r="K40" s="911"/>
      <c r="L40" s="911"/>
      <c r="M40" s="911"/>
      <c r="N40" s="911"/>
      <c r="O40" s="911"/>
      <c r="P40" s="911"/>
      <c r="Q40" s="911"/>
      <c r="R40" s="911"/>
      <c r="S40" s="911"/>
      <c r="T40" s="935"/>
    </row>
    <row r="41" spans="2:20" x14ac:dyDescent="0.25">
      <c r="B41" s="934"/>
      <c r="C41" s="912" t="s">
        <v>1232</v>
      </c>
      <c r="D41" s="913" t="s">
        <v>1233</v>
      </c>
      <c r="E41" s="15"/>
      <c r="F41" s="912" t="s">
        <v>1232</v>
      </c>
      <c r="G41" s="913" t="s">
        <v>1234</v>
      </c>
      <c r="H41" s="15"/>
      <c r="I41" s="912" t="s">
        <v>1232</v>
      </c>
      <c r="J41" s="913" t="s">
        <v>1235</v>
      </c>
      <c r="K41" s="15"/>
      <c r="L41" s="912" t="s">
        <v>1232</v>
      </c>
      <c r="M41" s="913" t="s">
        <v>1236</v>
      </c>
      <c r="N41" s="15"/>
      <c r="O41" s="912" t="s">
        <v>1232</v>
      </c>
      <c r="P41" s="913" t="s">
        <v>1237</v>
      </c>
      <c r="Q41" s="15"/>
      <c r="R41" s="912" t="s">
        <v>1232</v>
      </c>
      <c r="S41" s="913" t="s">
        <v>1238</v>
      </c>
      <c r="T41" s="935"/>
    </row>
    <row r="42" spans="2:20" ht="30" x14ac:dyDescent="0.25">
      <c r="B42" s="934"/>
      <c r="C42" s="873" t="s">
        <v>1239</v>
      </c>
      <c r="D42" s="874" t="s">
        <v>1242</v>
      </c>
      <c r="E42" s="710"/>
      <c r="F42" s="873" t="s">
        <v>1239</v>
      </c>
      <c r="G42" s="874" t="s">
        <v>1243</v>
      </c>
      <c r="H42" s="710"/>
      <c r="I42" s="873" t="s">
        <v>1239</v>
      </c>
      <c r="J42" s="874" t="s">
        <v>1244</v>
      </c>
      <c r="K42" s="15"/>
      <c r="L42" s="873" t="s">
        <v>1239</v>
      </c>
      <c r="M42" s="874" t="s">
        <v>1244</v>
      </c>
      <c r="N42" s="15"/>
      <c r="O42" s="873" t="s">
        <v>1239</v>
      </c>
      <c r="P42" s="874" t="s">
        <v>1244</v>
      </c>
      <c r="Q42" s="15"/>
      <c r="R42" s="873" t="s">
        <v>1239</v>
      </c>
      <c r="S42" s="874" t="s">
        <v>1244</v>
      </c>
      <c r="T42" s="935"/>
    </row>
    <row r="43" spans="2:20" s="136" customFormat="1" x14ac:dyDescent="0.25">
      <c r="B43" s="933"/>
      <c r="C43" s="894"/>
      <c r="D43" s="895"/>
      <c r="E43" s="907"/>
      <c r="F43" s="894"/>
      <c r="G43" s="895"/>
      <c r="H43" s="907"/>
      <c r="I43" s="894"/>
      <c r="J43" s="895"/>
      <c r="K43" s="907"/>
      <c r="L43" s="894"/>
      <c r="M43" s="895"/>
      <c r="N43" s="907"/>
      <c r="O43" s="894"/>
      <c r="P43" s="895"/>
      <c r="Q43" s="907"/>
      <c r="R43" s="894"/>
      <c r="S43" s="895"/>
      <c r="T43" s="935"/>
    </row>
    <row r="44" spans="2:20" s="136" customFormat="1" x14ac:dyDescent="0.25">
      <c r="B44" s="933"/>
      <c r="C44" s="894"/>
      <c r="D44" s="895"/>
      <c r="E44" s="907"/>
      <c r="F44" s="894"/>
      <c r="G44" s="895"/>
      <c r="H44" s="907"/>
      <c r="I44" s="894"/>
      <c r="J44" s="895"/>
      <c r="K44" s="907"/>
      <c r="L44" s="894"/>
      <c r="M44" s="895"/>
      <c r="N44" s="907"/>
      <c r="O44" s="894"/>
      <c r="P44" s="895"/>
      <c r="Q44" s="907"/>
      <c r="R44" s="894"/>
      <c r="S44" s="895"/>
      <c r="T44" s="935"/>
    </row>
    <row r="45" spans="2:20" s="136" customFormat="1" x14ac:dyDescent="0.25">
      <c r="B45" s="933"/>
      <c r="C45" s="894"/>
      <c r="D45" s="895"/>
      <c r="E45" s="907"/>
      <c r="F45" s="894"/>
      <c r="G45" s="895"/>
      <c r="H45" s="907"/>
      <c r="I45" s="894"/>
      <c r="J45" s="895"/>
      <c r="K45" s="907"/>
      <c r="L45" s="894"/>
      <c r="M45" s="895"/>
      <c r="N45" s="907"/>
      <c r="O45" s="894"/>
      <c r="P45" s="895"/>
      <c r="Q45" s="907"/>
      <c r="R45" s="894"/>
      <c r="S45" s="895"/>
      <c r="T45" s="935"/>
    </row>
    <row r="46" spans="2:20" s="136" customFormat="1" x14ac:dyDescent="0.25">
      <c r="B46" s="933"/>
      <c r="C46" s="894"/>
      <c r="D46" s="895"/>
      <c r="E46" s="907"/>
      <c r="F46" s="894"/>
      <c r="G46" s="895"/>
      <c r="H46" s="907"/>
      <c r="I46" s="894"/>
      <c r="J46" s="895"/>
      <c r="K46" s="907"/>
      <c r="L46" s="894"/>
      <c r="M46" s="895"/>
      <c r="N46" s="907"/>
      <c r="O46" s="894"/>
      <c r="P46" s="895"/>
      <c r="Q46" s="907"/>
      <c r="R46" s="894"/>
      <c r="S46" s="895"/>
      <c r="T46" s="935"/>
    </row>
    <row r="47" spans="2:20" s="136" customFormat="1" x14ac:dyDescent="0.25">
      <c r="B47" s="933"/>
      <c r="C47" s="894"/>
      <c r="D47" s="895"/>
      <c r="E47" s="907"/>
      <c r="F47" s="894"/>
      <c r="G47" s="895"/>
      <c r="H47" s="907"/>
      <c r="I47" s="894"/>
      <c r="J47" s="895"/>
      <c r="K47" s="907"/>
      <c r="L47" s="894"/>
      <c r="M47" s="895"/>
      <c r="N47" s="907"/>
      <c r="O47" s="894"/>
      <c r="P47" s="895"/>
      <c r="Q47" s="907"/>
      <c r="R47" s="894"/>
      <c r="S47" s="895"/>
      <c r="T47" s="935"/>
    </row>
    <row r="48" spans="2:20" s="136" customFormat="1" x14ac:dyDescent="0.25">
      <c r="B48" s="933"/>
      <c r="C48" s="894"/>
      <c r="D48" s="895"/>
      <c r="E48" s="907"/>
      <c r="F48" s="894"/>
      <c r="G48" s="895"/>
      <c r="H48" s="907"/>
      <c r="I48" s="894"/>
      <c r="J48" s="895"/>
      <c r="K48" s="907"/>
      <c r="L48" s="894"/>
      <c r="M48" s="895"/>
      <c r="N48" s="907"/>
      <c r="O48" s="894"/>
      <c r="P48" s="895"/>
      <c r="Q48" s="907"/>
      <c r="R48" s="894"/>
      <c r="S48" s="895"/>
      <c r="T48" s="935"/>
    </row>
    <row r="49" spans="2:20" s="136" customFormat="1" x14ac:dyDescent="0.25">
      <c r="B49" s="933"/>
      <c r="C49" s="894"/>
      <c r="D49" s="895"/>
      <c r="E49" s="907"/>
      <c r="F49" s="894"/>
      <c r="G49" s="895"/>
      <c r="H49" s="907"/>
      <c r="I49" s="894"/>
      <c r="J49" s="895"/>
      <c r="K49" s="907"/>
      <c r="L49" s="894"/>
      <c r="M49" s="895"/>
      <c r="N49" s="907"/>
      <c r="O49" s="894"/>
      <c r="P49" s="895"/>
      <c r="Q49" s="907"/>
      <c r="R49" s="894"/>
      <c r="S49" s="895"/>
      <c r="T49" s="935"/>
    </row>
    <row r="50" spans="2:20" s="136" customFormat="1" x14ac:dyDescent="0.25">
      <c r="B50" s="933"/>
      <c r="C50" s="894"/>
      <c r="D50" s="895"/>
      <c r="E50" s="907"/>
      <c r="F50" s="894"/>
      <c r="G50" s="895"/>
      <c r="H50" s="907"/>
      <c r="I50" s="894"/>
      <c r="J50" s="895"/>
      <c r="K50" s="907"/>
      <c r="L50" s="894"/>
      <c r="M50" s="895"/>
      <c r="N50" s="907"/>
      <c r="O50" s="894"/>
      <c r="P50" s="895"/>
      <c r="Q50" s="907"/>
      <c r="R50" s="894"/>
      <c r="S50" s="895"/>
      <c r="T50" s="935"/>
    </row>
    <row r="51" spans="2:20" s="136" customFormat="1" x14ac:dyDescent="0.25">
      <c r="B51" s="933"/>
      <c r="C51" s="894"/>
      <c r="D51" s="895"/>
      <c r="E51" s="907"/>
      <c r="F51" s="894"/>
      <c r="G51" s="895"/>
      <c r="H51" s="907"/>
      <c r="I51" s="894"/>
      <c r="J51" s="895"/>
      <c r="K51" s="907"/>
      <c r="L51" s="894"/>
      <c r="M51" s="895"/>
      <c r="N51" s="907"/>
      <c r="O51" s="894"/>
      <c r="P51" s="895"/>
      <c r="Q51" s="907"/>
      <c r="R51" s="894"/>
      <c r="S51" s="895"/>
      <c r="T51" s="935"/>
    </row>
    <row r="52" spans="2:20" s="136" customFormat="1" x14ac:dyDescent="0.25">
      <c r="B52" s="933"/>
      <c r="C52" s="896"/>
      <c r="D52" s="897"/>
      <c r="E52" s="907"/>
      <c r="F52" s="896"/>
      <c r="G52" s="897"/>
      <c r="H52" s="907"/>
      <c r="I52" s="896"/>
      <c r="J52" s="897"/>
      <c r="K52" s="907"/>
      <c r="L52" s="896"/>
      <c r="M52" s="897"/>
      <c r="N52" s="907"/>
      <c r="O52" s="896"/>
      <c r="P52" s="897"/>
      <c r="Q52" s="907"/>
      <c r="R52" s="896"/>
      <c r="S52" s="897"/>
      <c r="T52" s="935"/>
    </row>
    <row r="53" spans="2:20" x14ac:dyDescent="0.25">
      <c r="B53" s="934"/>
      <c r="C53" s="875">
        <f>SUM(C43:C52)</f>
        <v>0</v>
      </c>
      <c r="D53" s="876">
        <f>IF(C53=0,0,(C43*D43+C44*D44+C45*D45+C46*D46+C47*D47+C48*D48+C49*D49+C50*D50+C51*D51+C52*D52)/C53)</f>
        <v>0</v>
      </c>
      <c r="E53" s="15"/>
      <c r="F53" s="875">
        <f>SUM(F43:F52)</f>
        <v>0</v>
      </c>
      <c r="G53" s="876">
        <f>IF(F53=0,0,(F43*G43+F44*G44+F45*G45+F46*G46+F47*G47+F48*G48+F49*G49+F50*G50+F51*G51+F52*G52)/F53)</f>
        <v>0</v>
      </c>
      <c r="H53" s="15"/>
      <c r="I53" s="875">
        <f>SUM(I43:I52)</f>
        <v>0</v>
      </c>
      <c r="J53" s="876">
        <f>IF(I53=0,0,(I43*J43+I44*J44+I45*J45+I46*J46+I47*J47+I48*J48+I49*J49+I50*J50+I51*J51+I52*J52)/I53)</f>
        <v>0</v>
      </c>
      <c r="K53" s="15"/>
      <c r="L53" s="875">
        <f>SUM(L43:L52)</f>
        <v>0</v>
      </c>
      <c r="M53" s="876">
        <f>IF(L53=0,0,(L43*M43+L44*M44+L45*M45+L46*M46+L47*M47+L48*M48+L49*M49+L50*M50+L51*M51+L52*M52)/L53)</f>
        <v>0</v>
      </c>
      <c r="N53" s="15"/>
      <c r="O53" s="875">
        <f>SUM(O43:O52)</f>
        <v>0</v>
      </c>
      <c r="P53" s="876">
        <f>IF(O53=0,0,(O43*P43+O44*P44+O45*P45+O46*P46+O47*P47+O48*P48+O49*P49+O50*P50+O51*P51+O52*P52)/O53)</f>
        <v>0</v>
      </c>
      <c r="Q53" s="15"/>
      <c r="R53" s="875">
        <f>SUM(R43:R52)</f>
        <v>0</v>
      </c>
      <c r="S53" s="876">
        <f>IF(R53=0,0,(R43*S43+R44*S44+R45*S45+R46*S46+R47*S47+R48*S48+R49*S49+R50*S50+R51*S51+R52*S52)/R53)</f>
        <v>0</v>
      </c>
      <c r="T53" s="935"/>
    </row>
    <row r="54" spans="2:20" x14ac:dyDescent="0.25">
      <c r="B54" s="934"/>
      <c r="C54" s="15" t="s">
        <v>1270</v>
      </c>
      <c r="D54" s="903"/>
      <c r="E54" s="15"/>
      <c r="F54" s="15" t="s">
        <v>1270</v>
      </c>
      <c r="G54" s="903"/>
      <c r="H54" s="15"/>
      <c r="I54" s="15" t="s">
        <v>1270</v>
      </c>
      <c r="J54" s="903"/>
      <c r="K54" s="15"/>
      <c r="L54" s="15" t="s">
        <v>1270</v>
      </c>
      <c r="M54" s="903"/>
      <c r="N54" s="15"/>
      <c r="O54" s="15" t="s">
        <v>1270</v>
      </c>
      <c r="P54" s="903"/>
      <c r="Q54" s="15"/>
      <c r="R54" s="15" t="s">
        <v>1270</v>
      </c>
      <c r="S54" s="903"/>
      <c r="T54" s="935"/>
    </row>
    <row r="55" spans="2:20" x14ac:dyDescent="0.25">
      <c r="B55" s="934"/>
      <c r="C55" s="15"/>
      <c r="D55" s="15"/>
      <c r="E55" s="15"/>
      <c r="F55" s="15"/>
      <c r="G55" s="15"/>
      <c r="H55" s="15"/>
      <c r="I55" s="15"/>
      <c r="J55" s="15"/>
      <c r="K55" s="15"/>
      <c r="L55" s="15"/>
      <c r="M55" s="15"/>
      <c r="N55" s="15"/>
      <c r="O55" s="15"/>
      <c r="P55" s="15"/>
      <c r="Q55" s="15"/>
      <c r="R55" s="15"/>
      <c r="S55" s="15"/>
      <c r="T55" s="935"/>
    </row>
    <row r="56" spans="2:20" x14ac:dyDescent="0.25">
      <c r="B56" s="934"/>
      <c r="C56" s="15"/>
      <c r="D56" s="15"/>
      <c r="E56" s="15"/>
      <c r="F56" s="15"/>
      <c r="G56" s="15"/>
      <c r="H56" s="15"/>
      <c r="I56" s="15"/>
      <c r="J56" s="15"/>
      <c r="K56" s="15"/>
      <c r="L56" s="15"/>
      <c r="M56" s="15"/>
      <c r="N56" s="15"/>
      <c r="O56" s="15"/>
      <c r="P56" s="15"/>
      <c r="Q56" s="15"/>
      <c r="R56" s="15"/>
      <c r="S56" s="15"/>
      <c r="T56" s="935"/>
    </row>
    <row r="57" spans="2:20" ht="18.75" x14ac:dyDescent="0.3">
      <c r="B57" s="934"/>
      <c r="C57" s="914" t="s">
        <v>1245</v>
      </c>
      <c r="D57" s="15"/>
      <c r="E57" s="15"/>
      <c r="F57" s="15"/>
      <c r="G57" s="15"/>
      <c r="H57" s="15"/>
      <c r="I57" s="15"/>
      <c r="J57" s="15"/>
      <c r="K57" s="15"/>
      <c r="L57" s="15"/>
      <c r="M57" s="15"/>
      <c r="N57" s="15"/>
      <c r="O57" s="15"/>
      <c r="P57" s="15"/>
      <c r="Q57" s="15"/>
      <c r="R57" s="15"/>
      <c r="S57" s="15"/>
      <c r="T57" s="935"/>
    </row>
    <row r="58" spans="2:20" ht="15.75" thickBot="1" x14ac:dyDescent="0.3">
      <c r="B58" s="928"/>
      <c r="C58" s="929"/>
      <c r="D58" s="929"/>
      <c r="E58" s="929"/>
      <c r="F58" s="929"/>
      <c r="G58" s="929"/>
      <c r="H58" s="929"/>
      <c r="I58" s="929"/>
      <c r="J58" s="929"/>
      <c r="K58" s="929"/>
      <c r="L58" s="929"/>
      <c r="M58" s="929"/>
      <c r="N58" s="929"/>
      <c r="O58" s="929"/>
      <c r="P58" s="929"/>
      <c r="Q58" s="929"/>
      <c r="R58" s="929"/>
      <c r="S58" s="929"/>
      <c r="T58" s="930"/>
    </row>
  </sheetData>
  <sheetProtection algorithmName="SHA-512" hashValue="9grMG7oXJU1iUaZ+NpXjQnZX8meJvI4tHt6JJjci1fRava9sylSKJ5wv77J+wdNZOWuWoO4aVV8Nj1evA/QJHQ==" saltValue="hjm9EOxisqPiGGb6/GW7KQ==" spinCount="100000" sheet="1" formatColumns="0" formatRows="0" selectLockedCells="1"/>
  <pageMargins left="0.7" right="0.7" top="0.75" bottom="0.75" header="0.3" footer="0.3"/>
  <pageSetup paperSize="9" orientation="portrait" r:id="rId1"/>
  <headerFooter>
    <oddHeader>&amp;C&amp;"Arial"&amp;12&amp;KA80000 OFFICIAL&amp;1#_x000D_</oddHead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Y87"/>
  <sheetViews>
    <sheetView showGridLines="0" zoomScale="90" zoomScaleNormal="90" workbookViewId="0">
      <selection activeCell="G8" sqref="G8:M19"/>
    </sheetView>
  </sheetViews>
  <sheetFormatPr defaultColWidth="9.140625" defaultRowHeight="15" x14ac:dyDescent="0.25"/>
  <cols>
    <col min="1" max="1" width="18.5703125" style="233" customWidth="1"/>
    <col min="2" max="2" width="10.42578125" style="233" customWidth="1"/>
    <col min="3" max="3" width="38.42578125" style="233" customWidth="1"/>
    <col min="4" max="4" width="13.5703125" style="233" customWidth="1"/>
    <col min="5" max="5" width="11" style="233" customWidth="1"/>
    <col min="6" max="6" width="9.140625" style="233"/>
    <col min="7" max="7" width="21.5703125" style="233" customWidth="1"/>
    <col min="8" max="8" width="15" style="233" customWidth="1"/>
    <col min="9" max="9" width="12.28515625" style="233" customWidth="1"/>
    <col min="10" max="10" width="12.140625" style="233" customWidth="1"/>
    <col min="11" max="11" width="16.7109375" style="233" customWidth="1"/>
    <col min="12" max="12" width="13.5703125" style="233" customWidth="1"/>
    <col min="13" max="13" width="56.5703125" style="233" customWidth="1"/>
    <col min="14" max="16" width="9.140625" style="233"/>
    <col min="17" max="17" width="11.85546875" style="233" customWidth="1"/>
    <col min="18" max="18" width="11" style="233" customWidth="1"/>
    <col min="19" max="19" width="16" style="233" bestFit="1" customWidth="1"/>
    <col min="20" max="20" width="10.7109375" style="233" bestFit="1" customWidth="1"/>
    <col min="21" max="23" width="9.140625" style="233"/>
    <col min="24" max="24" width="25.140625" style="233" bestFit="1" customWidth="1"/>
    <col min="25" max="25" width="12.5703125" style="233" customWidth="1"/>
    <col min="26" max="26" width="10.5703125" style="233" bestFit="1" customWidth="1"/>
    <col min="27" max="16384" width="9.140625" style="233"/>
  </cols>
  <sheetData>
    <row r="1" spans="1:25" ht="48" customHeight="1" x14ac:dyDescent="0.25">
      <c r="A1" s="1322" t="s">
        <v>161</v>
      </c>
      <c r="B1" s="1323"/>
      <c r="C1" s="1324" t="str">
        <f>'Summary Page'!E13</f>
        <v/>
      </c>
      <c r="D1" s="1325"/>
      <c r="E1" s="1326"/>
      <c r="F1" s="1313" t="s">
        <v>831</v>
      </c>
      <c r="G1" s="1314"/>
      <c r="H1" s="1314"/>
      <c r="I1" s="1314"/>
      <c r="J1" s="1315"/>
      <c r="K1" s="1295" t="s">
        <v>460</v>
      </c>
      <c r="L1" s="1295"/>
      <c r="M1" s="404"/>
      <c r="X1" s="515" t="s">
        <v>74</v>
      </c>
      <c r="Y1" s="515" t="str">
        <f>B22</f>
        <v>A1087</v>
      </c>
    </row>
    <row r="2" spans="1:25" ht="21" x14ac:dyDescent="0.35">
      <c r="A2" s="324" t="s">
        <v>461</v>
      </c>
      <c r="B2" s="325">
        <v>2</v>
      </c>
      <c r="C2" s="1296" t="str">
        <f>'Summary Page'!E19</f>
        <v/>
      </c>
      <c r="D2" s="1297"/>
      <c r="E2" s="1297"/>
      <c r="F2" s="1316"/>
      <c r="G2" s="1317"/>
      <c r="H2" s="1317"/>
      <c r="I2" s="1317"/>
      <c r="J2" s="1318"/>
      <c r="K2" s="326"/>
      <c r="L2" s="327" t="s">
        <v>152</v>
      </c>
      <c r="M2" s="328">
        <f>K59</f>
        <v>0</v>
      </c>
      <c r="P2" s="525" t="s">
        <v>469</v>
      </c>
      <c r="Q2" s="526" t="s">
        <v>19</v>
      </c>
      <c r="R2" s="1273" t="s">
        <v>860</v>
      </c>
      <c r="S2" s="1274"/>
      <c r="T2" s="1274"/>
      <c r="U2" s="1274"/>
      <c r="V2" s="1275"/>
      <c r="X2" s="41" t="s">
        <v>833</v>
      </c>
      <c r="Y2" s="466">
        <f>VLOOKUP(Y1,Activities!A10:Q129,16,FALSE)</f>
        <v>27868.467286149284</v>
      </c>
    </row>
    <row r="3" spans="1:25" ht="21" x14ac:dyDescent="0.25">
      <c r="A3" s="329" t="s">
        <v>267</v>
      </c>
      <c r="B3" s="330">
        <f>'Version Control'!B50</f>
        <v>7</v>
      </c>
      <c r="F3" s="1319"/>
      <c r="G3" s="1320"/>
      <c r="H3" s="1320"/>
      <c r="I3" s="1320"/>
      <c r="J3" s="1321"/>
      <c r="K3" s="331"/>
      <c r="L3" s="332" t="s">
        <v>462</v>
      </c>
      <c r="M3" s="333">
        <f>'Summary Page'!J73</f>
        <v>0</v>
      </c>
      <c r="P3" s="297" t="s">
        <v>61</v>
      </c>
      <c r="Q3" s="371" t="s">
        <v>58</v>
      </c>
      <c r="R3" s="371" t="s">
        <v>59</v>
      </c>
      <c r="S3" s="371" t="s">
        <v>60</v>
      </c>
      <c r="T3" s="371" t="s">
        <v>53</v>
      </c>
      <c r="U3" s="372" t="s">
        <v>61</v>
      </c>
      <c r="V3" s="373" t="s">
        <v>53</v>
      </c>
      <c r="X3" s="71" t="s">
        <v>836</v>
      </c>
      <c r="Y3" s="467">
        <f>Y2*2</f>
        <v>55736.934572298567</v>
      </c>
    </row>
    <row r="4" spans="1:25" ht="21" x14ac:dyDescent="0.25">
      <c r="A4" s="334" t="s">
        <v>463</v>
      </c>
      <c r="B4" s="335">
        <f>'Version Control'!A50</f>
        <v>45531</v>
      </c>
      <c r="K4" s="294"/>
      <c r="L4" s="336" t="s">
        <v>464</v>
      </c>
      <c r="M4" s="337" t="e">
        <f>M2/M3</f>
        <v>#DIV/0!</v>
      </c>
      <c r="P4" s="374" t="s">
        <v>35</v>
      </c>
      <c r="Q4" s="357">
        <f>Activities!P$82</f>
        <v>3.0404570470009347</v>
      </c>
      <c r="R4" s="357">
        <f>VLOOKUP(Q2,Activities!$A$10:$Q$152,16,FALSE)</f>
        <v>1.1303836975020005</v>
      </c>
      <c r="S4" s="376">
        <v>1</v>
      </c>
      <c r="T4" s="375">
        <f>R4+Q4</f>
        <v>4.170840744502935</v>
      </c>
      <c r="U4" s="235" t="s">
        <v>35</v>
      </c>
      <c r="V4" s="377">
        <f>T4</f>
        <v>4.170840744502935</v>
      </c>
      <c r="X4" s="71" t="s">
        <v>834</v>
      </c>
      <c r="Y4" s="467">
        <f>Y2*3-1</f>
        <v>83604.401858447847</v>
      </c>
    </row>
    <row r="5" spans="1:25" ht="18.75" customHeight="1" x14ac:dyDescent="0.25">
      <c r="A5" s="1298" t="s">
        <v>612</v>
      </c>
      <c r="B5" s="1298"/>
      <c r="C5" s="1298"/>
      <c r="D5" s="1298"/>
      <c r="E5" s="1299"/>
      <c r="G5" s="1302" t="s">
        <v>466</v>
      </c>
      <c r="H5" s="1303"/>
      <c r="I5" s="1303"/>
      <c r="J5" s="1304"/>
      <c r="P5" s="374" t="s">
        <v>36</v>
      </c>
      <c r="Q5" s="375">
        <f>Activities!P$82</f>
        <v>3.0404570470009347</v>
      </c>
      <c r="R5" s="375">
        <f>Activities!P$17*2</f>
        <v>2.260767395004001</v>
      </c>
      <c r="S5" s="376">
        <v>0.8</v>
      </c>
      <c r="T5" s="375">
        <f>R5+Q5</f>
        <v>5.3012244420049353</v>
      </c>
      <c r="U5" s="235" t="s">
        <v>36</v>
      </c>
      <c r="V5" s="377">
        <f>T5</f>
        <v>5.3012244420049353</v>
      </c>
      <c r="X5" s="71" t="s">
        <v>835</v>
      </c>
      <c r="Y5" s="467">
        <f>Y2*5-1</f>
        <v>139341.33643074642</v>
      </c>
    </row>
    <row r="6" spans="1:25" ht="18" customHeight="1" x14ac:dyDescent="0.25">
      <c r="A6" s="1300"/>
      <c r="B6" s="1300"/>
      <c r="C6" s="1300"/>
      <c r="D6" s="1300"/>
      <c r="E6" s="1301"/>
      <c r="F6" s="299"/>
      <c r="G6" s="1305" t="s">
        <v>484</v>
      </c>
      <c r="H6" s="1306"/>
      <c r="I6" s="1306"/>
      <c r="J6" s="1306"/>
      <c r="K6" s="1306"/>
      <c r="L6" s="1306"/>
      <c r="M6" s="1307"/>
      <c r="P6" s="374" t="s">
        <v>37</v>
      </c>
      <c r="Q6" s="375">
        <f>Activities!P$82</f>
        <v>3.0404570470009347</v>
      </c>
      <c r="R6" s="375">
        <f>Activities!P$17*5</f>
        <v>5.6519184875100024</v>
      </c>
      <c r="S6" s="376">
        <v>0.7</v>
      </c>
      <c r="T6" s="375">
        <f>R6+Q6</f>
        <v>8.692375534510937</v>
      </c>
      <c r="U6" s="235" t="s">
        <v>37</v>
      </c>
      <c r="V6" s="377">
        <f>T6</f>
        <v>8.692375534510937</v>
      </c>
      <c r="X6" s="52" t="s">
        <v>613</v>
      </c>
      <c r="Y6" s="124"/>
    </row>
    <row r="7" spans="1:25" ht="15.75" customHeight="1" x14ac:dyDescent="0.25">
      <c r="A7" s="338">
        <v>1</v>
      </c>
      <c r="B7" s="1311" t="s">
        <v>476</v>
      </c>
      <c r="C7" s="1311"/>
      <c r="D7" s="1311"/>
      <c r="E7" s="1312"/>
      <c r="F7" s="339"/>
      <c r="G7" s="1308"/>
      <c r="H7" s="1309"/>
      <c r="I7" s="1309"/>
      <c r="J7" s="1309"/>
      <c r="K7" s="1309"/>
      <c r="L7" s="1309"/>
      <c r="M7" s="1310"/>
      <c r="P7" s="238"/>
      <c r="Q7" s="553"/>
      <c r="R7" s="553"/>
      <c r="S7" s="554"/>
      <c r="T7" s="553"/>
      <c r="U7" s="236" t="s">
        <v>264</v>
      </c>
      <c r="V7" s="555"/>
    </row>
    <row r="8" spans="1:25" ht="15" customHeight="1" x14ac:dyDescent="0.25">
      <c r="A8" s="297">
        <v>2</v>
      </c>
      <c r="B8" s="1327" t="s">
        <v>478</v>
      </c>
      <c r="C8" s="1327"/>
      <c r="D8" s="1327"/>
      <c r="E8" s="1328"/>
      <c r="F8" s="339"/>
      <c r="G8" s="1137"/>
      <c r="H8" s="1138"/>
      <c r="I8" s="1138"/>
      <c r="J8" s="1138"/>
      <c r="K8" s="1138"/>
      <c r="L8" s="1138"/>
      <c r="M8" s="1139"/>
    </row>
    <row r="9" spans="1:25" ht="15" customHeight="1" x14ac:dyDescent="0.25">
      <c r="A9" s="297">
        <v>3</v>
      </c>
      <c r="B9" s="1327" t="s">
        <v>654</v>
      </c>
      <c r="C9" s="1327"/>
      <c r="D9" s="1327"/>
      <c r="E9" s="1328"/>
      <c r="F9" s="339"/>
      <c r="G9" s="1140"/>
      <c r="H9" s="1329"/>
      <c r="I9" s="1329"/>
      <c r="J9" s="1329"/>
      <c r="K9" s="1329"/>
      <c r="L9" s="1329"/>
      <c r="M9" s="1142"/>
      <c r="P9" s="525" t="str">
        <f>B36</f>
        <v>A1062</v>
      </c>
      <c r="Q9" s="526" t="s">
        <v>19</v>
      </c>
      <c r="R9" s="1273" t="str">
        <f>C36</f>
        <v xml:space="preserve">Sealing of Small Shafts and Adits </v>
      </c>
      <c r="S9" s="1274"/>
      <c r="T9" s="1274"/>
      <c r="U9" s="1274"/>
      <c r="V9" s="1275"/>
    </row>
    <row r="10" spans="1:25" ht="15" customHeight="1" x14ac:dyDescent="0.25">
      <c r="A10" s="297">
        <v>4</v>
      </c>
      <c r="B10" s="1327"/>
      <c r="C10" s="1327"/>
      <c r="D10" s="1327"/>
      <c r="E10" s="1328"/>
      <c r="F10" s="339"/>
      <c r="G10" s="1140"/>
      <c r="H10" s="1329"/>
      <c r="I10" s="1329"/>
      <c r="J10" s="1329"/>
      <c r="K10" s="1329"/>
      <c r="L10" s="1329"/>
      <c r="M10" s="1142"/>
      <c r="P10" s="297" t="s">
        <v>61</v>
      </c>
      <c r="Q10" s="371" t="s">
        <v>58</v>
      </c>
      <c r="R10" s="371" t="s">
        <v>59</v>
      </c>
      <c r="S10" s="371" t="s">
        <v>60</v>
      </c>
      <c r="T10" s="371" t="s">
        <v>53</v>
      </c>
      <c r="U10" s="372" t="s">
        <v>61</v>
      </c>
      <c r="V10" s="373" t="s">
        <v>53</v>
      </c>
    </row>
    <row r="11" spans="1:25" x14ac:dyDescent="0.25">
      <c r="A11" s="297">
        <v>5</v>
      </c>
      <c r="B11" s="1330"/>
      <c r="C11" s="1331"/>
      <c r="D11" s="1331"/>
      <c r="E11" s="1332"/>
      <c r="F11" s="339"/>
      <c r="G11" s="1140"/>
      <c r="H11" s="1329"/>
      <c r="I11" s="1329"/>
      <c r="J11" s="1329"/>
      <c r="K11" s="1329"/>
      <c r="L11" s="1329"/>
      <c r="M11" s="1142"/>
      <c r="P11" s="374" t="s">
        <v>35</v>
      </c>
      <c r="Q11" s="357">
        <f>VLOOKUP(P9,Activities!$A$10:$Q$152,16,FALSE)</f>
        <v>2.801835035853808</v>
      </c>
      <c r="R11" s="357">
        <f>VLOOKUP(Q9,Activities!$A$10:$Q$152,16,FALSE)</f>
        <v>1.1303836975020005</v>
      </c>
      <c r="S11" s="376">
        <v>1</v>
      </c>
      <c r="T11" s="375">
        <f>R11+Q11</f>
        <v>3.9322187333558087</v>
      </c>
      <c r="U11" s="235" t="s">
        <v>35</v>
      </c>
      <c r="V11" s="377">
        <f>T11</f>
        <v>3.9322187333558087</v>
      </c>
    </row>
    <row r="12" spans="1:25" ht="15" customHeight="1" x14ac:dyDescent="0.25">
      <c r="A12" s="305">
        <v>6</v>
      </c>
      <c r="B12" s="1282"/>
      <c r="C12" s="1282"/>
      <c r="D12" s="1282"/>
      <c r="E12" s="1283"/>
      <c r="G12" s="1140"/>
      <c r="H12" s="1329"/>
      <c r="I12" s="1329"/>
      <c r="J12" s="1329"/>
      <c r="K12" s="1329"/>
      <c r="L12" s="1329"/>
      <c r="M12" s="1142"/>
      <c r="P12" s="374" t="s">
        <v>36</v>
      </c>
      <c r="Q12" s="375">
        <f>Q11</f>
        <v>2.801835035853808</v>
      </c>
      <c r="R12" s="375">
        <f>R11*2</f>
        <v>2.260767395004001</v>
      </c>
      <c r="S12" s="376">
        <v>0.8</v>
      </c>
      <c r="T12" s="375">
        <f>Q12+(R12*S12)</f>
        <v>4.6104489518570091</v>
      </c>
      <c r="U12" s="235" t="s">
        <v>36</v>
      </c>
      <c r="V12" s="377">
        <f>T12</f>
        <v>4.6104489518570091</v>
      </c>
    </row>
    <row r="13" spans="1:25" x14ac:dyDescent="0.25">
      <c r="A13" s="340" t="s">
        <v>34</v>
      </c>
      <c r="G13" s="1140"/>
      <c r="H13" s="1329"/>
      <c r="I13" s="1329"/>
      <c r="J13" s="1329"/>
      <c r="K13" s="1329"/>
      <c r="L13" s="1329"/>
      <c r="M13" s="1142"/>
      <c r="P13" s="374" t="s">
        <v>37</v>
      </c>
      <c r="Q13" s="375">
        <f t="shared" ref="Q13:Q14" si="0">Q12</f>
        <v>2.801835035853808</v>
      </c>
      <c r="R13" s="375">
        <f>R11*3.5</f>
        <v>3.9563429412570019</v>
      </c>
      <c r="S13" s="376">
        <v>0.7</v>
      </c>
      <c r="T13" s="375">
        <f>Q13+(R13*S13)</f>
        <v>5.5712750947337089</v>
      </c>
      <c r="U13" s="235" t="s">
        <v>37</v>
      </c>
      <c r="V13" s="377">
        <f>T13</f>
        <v>5.5712750947337089</v>
      </c>
    </row>
    <row r="14" spans="1:25" x14ac:dyDescent="0.25">
      <c r="A14" s="1276"/>
      <c r="B14" s="1277"/>
      <c r="C14" s="1278" t="s">
        <v>352</v>
      </c>
      <c r="D14" s="1278"/>
      <c r="E14" s="1279"/>
      <c r="G14" s="1140"/>
      <c r="H14" s="1329"/>
      <c r="I14" s="1329"/>
      <c r="J14" s="1329"/>
      <c r="K14" s="1329"/>
      <c r="L14" s="1329"/>
      <c r="M14" s="1142"/>
      <c r="P14" s="374" t="s">
        <v>38</v>
      </c>
      <c r="Q14" s="375">
        <f t="shared" si="0"/>
        <v>2.801835035853808</v>
      </c>
      <c r="R14" s="375">
        <f>R11*5</f>
        <v>5.6519184875100024</v>
      </c>
      <c r="S14" s="376">
        <v>0.6</v>
      </c>
      <c r="T14" s="375">
        <f>Q14+(R14*S14)</f>
        <v>6.1929861283598093</v>
      </c>
      <c r="U14" s="235" t="s">
        <v>244</v>
      </c>
      <c r="V14" s="377">
        <f>T14</f>
        <v>6.1929861283598093</v>
      </c>
    </row>
    <row r="15" spans="1:25" x14ac:dyDescent="0.25">
      <c r="A15" s="1201"/>
      <c r="B15" s="1202"/>
      <c r="C15" s="1280" t="s">
        <v>467</v>
      </c>
      <c r="D15" s="1280"/>
      <c r="E15" s="1281"/>
      <c r="G15" s="1140"/>
      <c r="H15" s="1329"/>
      <c r="I15" s="1329"/>
      <c r="J15" s="1329"/>
      <c r="K15" s="1329"/>
      <c r="L15" s="1329"/>
      <c r="M15" s="1142"/>
      <c r="P15" s="287"/>
      <c r="Q15" s="288"/>
      <c r="R15" s="288"/>
      <c r="S15" s="288"/>
      <c r="T15" s="288"/>
      <c r="U15" s="288" t="s">
        <v>264</v>
      </c>
      <c r="V15" s="289"/>
    </row>
    <row r="16" spans="1:25" x14ac:dyDescent="0.25">
      <c r="A16" s="1284" t="s">
        <v>824</v>
      </c>
      <c r="B16" s="1285"/>
      <c r="C16" s="1285"/>
      <c r="D16" s="1285"/>
      <c r="E16" s="1286"/>
      <c r="G16" s="1140"/>
      <c r="H16" s="1329"/>
      <c r="I16" s="1329"/>
      <c r="J16" s="1329"/>
      <c r="K16" s="1329"/>
      <c r="L16" s="1329"/>
      <c r="M16" s="1142"/>
    </row>
    <row r="17" spans="1:24" ht="15" customHeight="1" x14ac:dyDescent="0.25">
      <c r="A17" s="1287"/>
      <c r="B17" s="1288"/>
      <c r="C17" s="1288"/>
      <c r="D17" s="1288"/>
      <c r="E17" s="1289"/>
      <c r="G17" s="1140"/>
      <c r="H17" s="1329"/>
      <c r="I17" s="1329"/>
      <c r="J17" s="1329"/>
      <c r="K17" s="1329"/>
      <c r="L17" s="1329"/>
      <c r="M17" s="1142"/>
      <c r="P17" s="243"/>
      <c r="Q17" s="243"/>
      <c r="R17" s="243"/>
      <c r="S17" s="243"/>
      <c r="T17" s="243"/>
      <c r="U17" s="243"/>
      <c r="V17" s="243"/>
      <c r="W17" s="552"/>
      <c r="X17" s="552"/>
    </row>
    <row r="18" spans="1:24" ht="18.75" customHeight="1" x14ac:dyDescent="0.25">
      <c r="A18" s="1287"/>
      <c r="B18" s="1288"/>
      <c r="C18" s="1288"/>
      <c r="D18" s="1288"/>
      <c r="E18" s="1289"/>
      <c r="G18" s="1140"/>
      <c r="H18" s="1329"/>
      <c r="I18" s="1329"/>
      <c r="J18" s="1329"/>
      <c r="K18" s="1329"/>
      <c r="L18" s="1329"/>
      <c r="M18" s="1142"/>
      <c r="P18" s="525" t="str">
        <f>B39</f>
        <v>A1006</v>
      </c>
      <c r="Q18" s="526" t="s">
        <v>19</v>
      </c>
      <c r="R18" s="1273" t="s">
        <v>893</v>
      </c>
      <c r="S18" s="1274"/>
      <c r="T18" s="1274"/>
      <c r="U18" s="1274"/>
      <c r="V18" s="1275"/>
    </row>
    <row r="19" spans="1:24" x14ac:dyDescent="0.25">
      <c r="A19" s="1290"/>
      <c r="B19" s="1291"/>
      <c r="C19" s="1291"/>
      <c r="D19" s="1291"/>
      <c r="E19" s="1292"/>
      <c r="G19" s="1143"/>
      <c r="H19" s="1144"/>
      <c r="I19" s="1144"/>
      <c r="J19" s="1144"/>
      <c r="K19" s="1144"/>
      <c r="L19" s="1144"/>
      <c r="M19" s="1145"/>
      <c r="P19" s="297" t="s">
        <v>61</v>
      </c>
      <c r="Q19" s="371" t="s">
        <v>58</v>
      </c>
      <c r="R19" s="371" t="s">
        <v>59</v>
      </c>
      <c r="S19" s="371" t="s">
        <v>60</v>
      </c>
      <c r="T19" s="371" t="s">
        <v>53</v>
      </c>
      <c r="U19" s="372" t="s">
        <v>61</v>
      </c>
      <c r="V19" s="373" t="s">
        <v>53</v>
      </c>
    </row>
    <row r="20" spans="1:24" ht="15" customHeight="1" x14ac:dyDescent="0.25">
      <c r="D20" s="316" t="s">
        <v>386</v>
      </c>
      <c r="G20" s="1339" t="s">
        <v>386</v>
      </c>
      <c r="H20" s="1339"/>
      <c r="J20" s="282" t="s">
        <v>386</v>
      </c>
      <c r="P20" s="374" t="s">
        <v>35</v>
      </c>
      <c r="Q20" s="357">
        <f>VLOOKUP(P18,Activities!$A$10:$Q$152,16,FALSE)</f>
        <v>1.1086505828514972</v>
      </c>
      <c r="R20" s="357">
        <f>VLOOKUP(Q18,Activities!$A$10:$Q$152,16,FALSE)</f>
        <v>1.1303836975020005</v>
      </c>
      <c r="S20" s="376">
        <v>1</v>
      </c>
      <c r="T20" s="375">
        <f>R20+Q20</f>
        <v>2.2390342803534979</v>
      </c>
      <c r="U20" s="235" t="s">
        <v>35</v>
      </c>
      <c r="V20" s="377">
        <f>T20</f>
        <v>2.2390342803534979</v>
      </c>
    </row>
    <row r="21" spans="1:24" ht="60.75" thickBot="1" x14ac:dyDescent="0.3">
      <c r="A21" s="119" t="s">
        <v>39</v>
      </c>
      <c r="B21" s="120" t="s">
        <v>40</v>
      </c>
      <c r="C21" s="120" t="s">
        <v>479</v>
      </c>
      <c r="D21" s="311" t="s">
        <v>272</v>
      </c>
      <c r="E21" s="311" t="s">
        <v>43</v>
      </c>
      <c r="F21" s="120" t="s">
        <v>273</v>
      </c>
      <c r="G21" s="1212" t="s">
        <v>416</v>
      </c>
      <c r="H21" s="1212"/>
      <c r="I21" s="120" t="s">
        <v>45</v>
      </c>
      <c r="J21" s="312" t="s">
        <v>271</v>
      </c>
      <c r="K21" s="120" t="s">
        <v>47</v>
      </c>
      <c r="L21" s="120" t="s">
        <v>270</v>
      </c>
      <c r="M21" s="121" t="s">
        <v>415</v>
      </c>
      <c r="P21" s="374" t="s">
        <v>36</v>
      </c>
      <c r="Q21" s="375">
        <f>Q20</f>
        <v>1.1086505828514972</v>
      </c>
      <c r="R21" s="375">
        <f>R20*2</f>
        <v>2.260767395004001</v>
      </c>
      <c r="S21" s="376">
        <v>0.8</v>
      </c>
      <c r="T21" s="375">
        <f>Q21+(R21*S21)</f>
        <v>2.9172644988546983</v>
      </c>
      <c r="U21" s="235" t="s">
        <v>36</v>
      </c>
      <c r="V21" s="377">
        <f>T21</f>
        <v>2.9172644988546983</v>
      </c>
    </row>
    <row r="22" spans="1:24" ht="51" customHeight="1" thickBot="1" x14ac:dyDescent="0.3">
      <c r="A22" s="1293" t="s">
        <v>440</v>
      </c>
      <c r="B22" s="245" t="s">
        <v>608</v>
      </c>
      <c r="C22" s="259" t="str">
        <f>VLOOKUP($B22,Activities!$A$10:$P$152,3,FALSE)</f>
        <v>Design/Quantify/Survey Rehabilitation Structures to Specification Standard</v>
      </c>
      <c r="D22" s="239" t="s">
        <v>49</v>
      </c>
      <c r="E22" s="240"/>
      <c r="F22" s="246" t="str">
        <f>VLOOKUP($B22,Activities!$A$10:$P$152,4,FALSE)</f>
        <v>Item</v>
      </c>
      <c r="G22" s="313" t="s">
        <v>837</v>
      </c>
      <c r="H22" s="140" t="s">
        <v>613</v>
      </c>
      <c r="I22" s="273">
        <f>VLOOKUP(H22,X2:Y6,2,FALSE)</f>
        <v>0</v>
      </c>
      <c r="J22" s="269"/>
      <c r="K22" s="390">
        <f>IF(D22="Y",IF(J22="",I22*E22,J22*E22),"")</f>
        <v>0</v>
      </c>
      <c r="L22" s="248" t="str">
        <f>IFERROR(IF(D22="Y",K22/$K$69,0%),"0.0%")</f>
        <v>0.0%</v>
      </c>
      <c r="M22" s="290" t="str">
        <f>VLOOKUP($B22,Activities!$A$10:$S$152,19,FALSE)</f>
        <v>This item covers the cost of a third party called in to determine the extent of work required and to assess the methodology to complete the work and any other design or planning activities required.</v>
      </c>
      <c r="P22" s="374" t="s">
        <v>37</v>
      </c>
      <c r="Q22" s="375">
        <f t="shared" ref="Q22:Q23" si="1">Q21</f>
        <v>1.1086505828514972</v>
      </c>
      <c r="R22" s="375">
        <f>R20*4</f>
        <v>4.5215347900080021</v>
      </c>
      <c r="S22" s="376">
        <v>0.7</v>
      </c>
      <c r="T22" s="375">
        <f>Q22+(R22*S22)</f>
        <v>4.2737249358570981</v>
      </c>
      <c r="U22" s="235" t="s">
        <v>37</v>
      </c>
      <c r="V22" s="377">
        <f>T22</f>
        <v>4.2737249358570981</v>
      </c>
    </row>
    <row r="23" spans="1:24" s="243" customFormat="1" ht="63.75" customHeight="1" thickBot="1" x14ac:dyDescent="0.3">
      <c r="A23" s="1294"/>
      <c r="B23" s="245" t="s">
        <v>228</v>
      </c>
      <c r="C23" s="259" t="str">
        <f>VLOOKUP($B23,Activities!$A$10:$P$152,3,FALSE)</f>
        <v>Disconnection of Services to Area</v>
      </c>
      <c r="D23" s="239" t="s">
        <v>49</v>
      </c>
      <c r="E23" s="344"/>
      <c r="F23" s="246" t="str">
        <f>VLOOKUP($B23,Activities!$A$10:$P$152,4,FALSE)</f>
        <v>Item</v>
      </c>
      <c r="G23" s="1269"/>
      <c r="H23" s="1270"/>
      <c r="I23" s="273">
        <f>VLOOKUP($B23,Activities!$A$10:$S$152,16,FALSE)</f>
        <v>3678.6008957627482</v>
      </c>
      <c r="J23" s="402"/>
      <c r="K23" s="388">
        <f>IF(D23="Y",IF(J23="",I23*E23,J23*E23),0)</f>
        <v>0</v>
      </c>
      <c r="L23" s="248" t="str">
        <f>IFERROR(IF(D23="Y",K23/$K$59,0%),"0.0%")</f>
        <v>0.0%</v>
      </c>
      <c r="M23" s="290" t="str">
        <f>VLOOKUP($B23,Activities!$A$10:$S$152,19,FALSE)</f>
        <v>This Activity includes disconnecting and terminating all services such as power, water and sewer.  It covers the disconnection costs for an area.  Within a mine site there may be a number of areas which need to have services disconnected.</v>
      </c>
      <c r="P23" s="374" t="s">
        <v>38</v>
      </c>
      <c r="Q23" s="375">
        <f t="shared" si="1"/>
        <v>1.1086505828514972</v>
      </c>
      <c r="R23" s="375">
        <f>R20*8</f>
        <v>9.0430695800160041</v>
      </c>
      <c r="S23" s="376">
        <v>0.6</v>
      </c>
      <c r="T23" s="375">
        <f>Q23+(R23*S23)</f>
        <v>6.5344923308610987</v>
      </c>
      <c r="U23" s="235" t="s">
        <v>244</v>
      </c>
      <c r="V23" s="377">
        <f>T23</f>
        <v>6.5344923308610987</v>
      </c>
    </row>
    <row r="24" spans="1:24" s="243" customFormat="1" ht="18" customHeight="1" thickBot="1" x14ac:dyDescent="0.3">
      <c r="A24" s="322" t="s">
        <v>53</v>
      </c>
      <c r="B24" s="323" t="str">
        <f>A22</f>
        <v>Preliminary Assessments</v>
      </c>
      <c r="C24" s="298"/>
      <c r="D24" s="252"/>
      <c r="E24" s="253"/>
      <c r="F24" s="252"/>
      <c r="G24" s="252"/>
      <c r="H24" s="252"/>
      <c r="I24" s="254"/>
      <c r="J24" s="255"/>
      <c r="K24" s="341">
        <f>SUM(K22:K23)</f>
        <v>0</v>
      </c>
      <c r="L24" s="252"/>
      <c r="M24" s="257"/>
      <c r="P24" s="238"/>
      <c r="Q24" s="236"/>
      <c r="R24" s="236"/>
      <c r="S24" s="236"/>
      <c r="T24" s="236"/>
      <c r="U24" s="236" t="s">
        <v>264</v>
      </c>
      <c r="V24" s="237"/>
    </row>
    <row r="25" spans="1:24" s="243" customFormat="1" ht="54.75" customHeight="1" thickBot="1" x14ac:dyDescent="0.3">
      <c r="A25" s="1293" t="s">
        <v>660</v>
      </c>
      <c r="B25" s="245"/>
      <c r="C25" s="90" t="s">
        <v>662</v>
      </c>
      <c r="D25" s="239" t="s">
        <v>49</v>
      </c>
      <c r="E25" s="240"/>
      <c r="F25" s="270" t="s">
        <v>50</v>
      </c>
      <c r="G25" s="1269"/>
      <c r="H25" s="1270"/>
      <c r="I25" s="347" t="s">
        <v>475</v>
      </c>
      <c r="J25" s="352"/>
      <c r="K25" s="388">
        <f>IF(D25="Y",J25*E25,0)</f>
        <v>0</v>
      </c>
      <c r="L25" s="248" t="str">
        <f>IFERROR(IF(D25="Y",K25/$K$59,0%),"0.0%")</f>
        <v>0.0%</v>
      </c>
      <c r="M25" s="290" t="s">
        <v>489</v>
      </c>
      <c r="P25" s="233"/>
      <c r="Q25" s="233"/>
      <c r="R25" s="233"/>
      <c r="S25" s="233"/>
      <c r="T25" s="233"/>
      <c r="U25" s="233"/>
      <c r="V25" s="233"/>
    </row>
    <row r="26" spans="1:24" s="243" customFormat="1" ht="48.75" customHeight="1" thickBot="1" x14ac:dyDescent="0.3">
      <c r="A26" s="1336"/>
      <c r="B26" s="245"/>
      <c r="C26" s="90" t="s">
        <v>828</v>
      </c>
      <c r="D26" s="239" t="s">
        <v>49</v>
      </c>
      <c r="E26" s="240"/>
      <c r="F26" s="270" t="s">
        <v>50</v>
      </c>
      <c r="G26" s="1269"/>
      <c r="H26" s="1270"/>
      <c r="I26" s="347" t="s">
        <v>475</v>
      </c>
      <c r="J26" s="352"/>
      <c r="K26" s="388">
        <f>IF(D26="Y",J26*E26,0)</f>
        <v>0</v>
      </c>
      <c r="L26" s="248" t="str">
        <f>IFERROR(IF(D26="Y",K26/$K$59,0%),"0.0%")</f>
        <v>0.0%</v>
      </c>
      <c r="M26" s="290" t="s">
        <v>655</v>
      </c>
      <c r="P26" s="525" t="str">
        <f>B42</f>
        <v>A1013</v>
      </c>
      <c r="Q26" s="526" t="s">
        <v>19</v>
      </c>
      <c r="R26" s="1273" t="s">
        <v>72</v>
      </c>
      <c r="S26" s="1274"/>
      <c r="T26" s="1274"/>
      <c r="U26" s="1274"/>
      <c r="V26" s="1275"/>
    </row>
    <row r="27" spans="1:24" s="243" customFormat="1" ht="48.75" thickBot="1" x14ac:dyDescent="0.3">
      <c r="A27" s="1336"/>
      <c r="B27" s="245"/>
      <c r="C27" s="90" t="s">
        <v>468</v>
      </c>
      <c r="D27" s="239" t="s">
        <v>49</v>
      </c>
      <c r="E27" s="240"/>
      <c r="F27" s="270" t="s">
        <v>50</v>
      </c>
      <c r="G27" s="1269"/>
      <c r="H27" s="1270"/>
      <c r="I27" s="347" t="s">
        <v>475</v>
      </c>
      <c r="J27" s="352"/>
      <c r="K27" s="388">
        <f>IF(D27="Y",J27*E27,0)</f>
        <v>0</v>
      </c>
      <c r="L27" s="248" t="str">
        <f>IFERROR(IF(D27="Y",K27/$K$59,0%),"0.0%")</f>
        <v>0.0%</v>
      </c>
      <c r="M27" s="290" t="s">
        <v>656</v>
      </c>
      <c r="P27" s="297" t="s">
        <v>61</v>
      </c>
      <c r="Q27" s="371" t="s">
        <v>58</v>
      </c>
      <c r="R27" s="371" t="s">
        <v>59</v>
      </c>
      <c r="S27" s="371" t="s">
        <v>60</v>
      </c>
      <c r="T27" s="371" t="s">
        <v>53</v>
      </c>
      <c r="U27" s="372" t="s">
        <v>61</v>
      </c>
      <c r="V27" s="373" t="s">
        <v>53</v>
      </c>
    </row>
    <row r="28" spans="1:24" s="243" customFormat="1" ht="45.75" customHeight="1" thickBot="1" x14ac:dyDescent="0.3">
      <c r="A28" s="1336"/>
      <c r="B28" s="270"/>
      <c r="C28" s="218" t="s">
        <v>55</v>
      </c>
      <c r="D28" s="239" t="s">
        <v>52</v>
      </c>
      <c r="E28" s="346"/>
      <c r="F28" s="166"/>
      <c r="G28" s="1269"/>
      <c r="H28" s="1270"/>
      <c r="I28" s="347" t="s">
        <v>475</v>
      </c>
      <c r="J28" s="269"/>
      <c r="K28" s="388">
        <f t="shared" ref="K28:K29" si="2">IF(D28="Y",J28*E28,0)</f>
        <v>0</v>
      </c>
      <c r="L28" s="248">
        <f t="shared" ref="L28:L29" si="3">IFERROR(IF(D28="Y",K28/$K$59,0%),"0.0%")</f>
        <v>0</v>
      </c>
      <c r="M28" s="139" t="s">
        <v>56</v>
      </c>
      <c r="P28" s="374" t="s">
        <v>35</v>
      </c>
      <c r="Q28" s="357">
        <f>VLOOKUP(P26,Activities!$A$10:$Q$152,16,FALSE)</f>
        <v>1.4289323610931841</v>
      </c>
      <c r="R28" s="357">
        <f>VLOOKUP(Q26,Activities!$A$10:$Q$152,16,FALSE)</f>
        <v>1.1303836975020005</v>
      </c>
      <c r="S28" s="376">
        <v>1</v>
      </c>
      <c r="T28" s="375">
        <f>R28+Q28</f>
        <v>2.5593160585951846</v>
      </c>
      <c r="U28" s="235" t="s">
        <v>35</v>
      </c>
      <c r="V28" s="377">
        <f>T28</f>
        <v>2.5593160585951846</v>
      </c>
    </row>
    <row r="29" spans="1:24" s="243" customFormat="1" ht="45.75" customHeight="1" thickBot="1" x14ac:dyDescent="0.3">
      <c r="A29" s="1294"/>
      <c r="B29" s="270"/>
      <c r="C29" s="218" t="s">
        <v>55</v>
      </c>
      <c r="D29" s="239" t="s">
        <v>52</v>
      </c>
      <c r="E29" s="346"/>
      <c r="F29" s="166"/>
      <c r="G29" s="1269"/>
      <c r="H29" s="1270"/>
      <c r="I29" s="347" t="s">
        <v>475</v>
      </c>
      <c r="J29" s="269"/>
      <c r="K29" s="388">
        <f t="shared" si="2"/>
        <v>0</v>
      </c>
      <c r="L29" s="248">
        <f t="shared" si="3"/>
        <v>0</v>
      </c>
      <c r="M29" s="139" t="s">
        <v>56</v>
      </c>
      <c r="P29" s="374" t="s">
        <v>36</v>
      </c>
      <c r="Q29" s="375">
        <f>Q28</f>
        <v>1.4289323610931841</v>
      </c>
      <c r="R29" s="375">
        <f>R28*2</f>
        <v>2.260767395004001</v>
      </c>
      <c r="S29" s="376">
        <v>0.8</v>
      </c>
      <c r="T29" s="375">
        <f>Q29+(R29*S29)</f>
        <v>3.237546277096385</v>
      </c>
      <c r="U29" s="235" t="s">
        <v>36</v>
      </c>
      <c r="V29" s="377">
        <f>T29</f>
        <v>3.237546277096385</v>
      </c>
    </row>
    <row r="30" spans="1:24" s="243" customFormat="1" ht="18.75" customHeight="1" thickBot="1" x14ac:dyDescent="0.3">
      <c r="A30" s="322" t="s">
        <v>53</v>
      </c>
      <c r="B30" s="323" t="str">
        <f>A25</f>
        <v>Removal of Headframes, Ventilation Fans and Structures over Openings</v>
      </c>
      <c r="C30" s="298"/>
      <c r="D30" s="252"/>
      <c r="E30" s="253"/>
      <c r="F30" s="252"/>
      <c r="G30" s="252"/>
      <c r="H30" s="252"/>
      <c r="I30" s="254"/>
      <c r="J30" s="255"/>
      <c r="K30" s="256">
        <f>SUM(K25:K29)</f>
        <v>0</v>
      </c>
      <c r="L30" s="252"/>
      <c r="M30" s="257"/>
      <c r="P30" s="374" t="s">
        <v>37</v>
      </c>
      <c r="Q30" s="375">
        <f t="shared" ref="Q30:Q31" si="4">Q29</f>
        <v>1.4289323610931841</v>
      </c>
      <c r="R30" s="375">
        <f>R28*4</f>
        <v>4.5215347900080021</v>
      </c>
      <c r="S30" s="376">
        <v>0.7</v>
      </c>
      <c r="T30" s="375">
        <f>Q30+(R30*S30)</f>
        <v>4.5940067140987857</v>
      </c>
      <c r="U30" s="235" t="s">
        <v>37</v>
      </c>
      <c r="V30" s="377">
        <f>T30</f>
        <v>4.5940067140987857</v>
      </c>
    </row>
    <row r="31" spans="1:24" s="243" customFormat="1" ht="61.5" customHeight="1" thickBot="1" x14ac:dyDescent="0.3">
      <c r="A31" s="1337" t="s">
        <v>472</v>
      </c>
      <c r="B31" s="245" t="s">
        <v>470</v>
      </c>
      <c r="C31" s="259" t="str">
        <f>VLOOKUP($B31,Activities!$A$10:$P$152,3,FALSE)</f>
        <v>The sealing of a shaft with a Concrete Cap</v>
      </c>
      <c r="D31" s="239" t="s">
        <v>49</v>
      </c>
      <c r="E31" s="240"/>
      <c r="F31" s="246" t="str">
        <f>VLOOKUP($B31,Activities!$A$10:$P$152,4,FALSE)</f>
        <v>m2</v>
      </c>
      <c r="G31" s="1269"/>
      <c r="H31" s="1270"/>
      <c r="I31" s="273">
        <f>VLOOKUP($B31,Activities!$A$10:$S$152,16,FALSE)</f>
        <v>1944.5880181943357</v>
      </c>
      <c r="J31" s="269"/>
      <c r="K31" s="386">
        <f>IF(D31="Y",IF(J31="",I31*E31,J31*E31),0)</f>
        <v>0</v>
      </c>
      <c r="L31" s="248" t="str">
        <f>IFERROR(IF(D31="Y",K31/$K$59,0%),"0.0%")</f>
        <v>0.0%</v>
      </c>
      <c r="M31" s="290" t="str">
        <f>VLOOKUP($B31,Activities!$A$10:$S$152,19,FALSE)</f>
        <v>This activity covers the situation when  a concrete cap is installed to seal and cover a shaft.  It is assumed the concrete cap is 1 metre thick and supported by suitable formwork.  It is based on the size of the shaft with a contingency for oversize</v>
      </c>
      <c r="P31" s="374" t="s">
        <v>38</v>
      </c>
      <c r="Q31" s="375">
        <f t="shared" si="4"/>
        <v>1.4289323610931841</v>
      </c>
      <c r="R31" s="375">
        <f>R28*8</f>
        <v>9.0430695800160041</v>
      </c>
      <c r="S31" s="376">
        <v>0.6</v>
      </c>
      <c r="T31" s="375">
        <f>Q31+(R31*S31)</f>
        <v>6.8547741091027863</v>
      </c>
      <c r="U31" s="235" t="s">
        <v>244</v>
      </c>
      <c r="V31" s="377">
        <f>T31</f>
        <v>6.8547741091027863</v>
      </c>
    </row>
    <row r="32" spans="1:24" s="243" customFormat="1" ht="82.5" customHeight="1" thickBot="1" x14ac:dyDescent="0.3">
      <c r="A32" s="1338"/>
      <c r="B32" s="245" t="s">
        <v>469</v>
      </c>
      <c r="C32" s="259" t="str">
        <f>VLOOKUP($B32,Activities!$A$10:$P$152,3,FALSE)</f>
        <v>The sealing of a shaft or adit with loose material or rock fill</v>
      </c>
      <c r="D32" s="239" t="s">
        <v>49</v>
      </c>
      <c r="E32" s="320"/>
      <c r="F32" s="246" t="str">
        <f>VLOOKUP($B32,Activities!$A$10:$P$152,4,FALSE)</f>
        <v>m3</v>
      </c>
      <c r="G32" s="313" t="s">
        <v>51</v>
      </c>
      <c r="H32" s="167" t="s">
        <v>264</v>
      </c>
      <c r="I32" s="349">
        <f>VLOOKUP(H32,U4:V7,2)</f>
        <v>0</v>
      </c>
      <c r="J32" s="269"/>
      <c r="K32" s="386">
        <f>IF(D32="Y",IF(J32="",I32*E32,J32*E32),0)</f>
        <v>0</v>
      </c>
      <c r="L32" s="248" t="str">
        <f>IFERROR(IF(D32="Y",K32/$K$59,0%),"0.0%")</f>
        <v>0.0%</v>
      </c>
      <c r="M32" s="290" t="str">
        <f>VLOOKUP($B32,Activities!$A$10:$S$152,19,FALSE)</f>
        <v xml:space="preserve">This activity covers the sealing of a shaft using loose material or rock fill.  The assumption is that the whole of the shaft is to be filled, or section of the adit, with suitable material or rock fill.  The activity consists of sourcing material, carting a distance (defined), dumping the material adjacent to the shaft and pushing the material into the shaft.  </v>
      </c>
      <c r="P32" s="378"/>
      <c r="Q32" s="379"/>
      <c r="R32" s="379"/>
      <c r="S32" s="379"/>
      <c r="T32" s="379"/>
      <c r="U32" s="236" t="s">
        <v>264</v>
      </c>
      <c r="V32" s="380"/>
    </row>
    <row r="33" spans="1:22" s="243" customFormat="1" ht="15.75" customHeight="1" thickBot="1" x14ac:dyDescent="0.3">
      <c r="A33" s="291" t="s">
        <v>53</v>
      </c>
      <c r="B33" s="345" t="str">
        <f>A31</f>
        <v>The Sealing of Shafts</v>
      </c>
      <c r="C33" s="251"/>
      <c r="D33" s="252"/>
      <c r="E33" s="253"/>
      <c r="F33" s="252"/>
      <c r="G33" s="252"/>
      <c r="H33" s="252"/>
      <c r="I33" s="254"/>
      <c r="J33" s="255"/>
      <c r="K33" s="256">
        <f>SUM(K31:K32)</f>
        <v>0</v>
      </c>
      <c r="L33" s="252"/>
      <c r="M33" s="257"/>
      <c r="P33"/>
      <c r="Q33" s="4"/>
      <c r="R33" s="4"/>
      <c r="S33" s="532"/>
      <c r="T33" s="4"/>
      <c r="U33"/>
      <c r="V33" s="4"/>
    </row>
    <row r="34" spans="1:22" s="243" customFormat="1" ht="60.75" customHeight="1" thickBot="1" x14ac:dyDescent="0.3">
      <c r="A34" s="1333" t="s">
        <v>657</v>
      </c>
      <c r="B34" s="245" t="s">
        <v>473</v>
      </c>
      <c r="C34" s="259" t="str">
        <f>VLOOKUP($B34,Activities!$A$10:$P$152,3,FALSE)</f>
        <v xml:space="preserve">Construction of a Concrete wall to seal a Portal </v>
      </c>
      <c r="D34" s="239" t="s">
        <v>49</v>
      </c>
      <c r="E34" s="240"/>
      <c r="F34" s="246" t="str">
        <f>VLOOKUP($B34,Activities!$A$10:$P$152,4,FALSE)</f>
        <v>m2</v>
      </c>
      <c r="G34" s="1269"/>
      <c r="H34" s="1270"/>
      <c r="I34" s="273">
        <f>VLOOKUP($B34,Activities!$A$10:$S$152,16,FALSE)</f>
        <v>1185.130364136377</v>
      </c>
      <c r="J34" s="269"/>
      <c r="K34" s="388">
        <f>IF(D34="Y",IF(J34="",I34*E34,J34*E34),0)</f>
        <v>0</v>
      </c>
      <c r="L34" s="248" t="str">
        <f>IFERROR(IF(D34="Y",K34/$K$59,0%),"0.0%")</f>
        <v>0.0%</v>
      </c>
      <c r="M34" s="290" t="str">
        <f>VLOOKUP($B34,Activities!$A$10:$S$152,19,FALSE)</f>
        <v xml:space="preserve">This activity covers the situation when it is necessary to construct a wall to seal a Portal - seal with 200mm reinforced concrete blocks. (Based on cross sectional area of portal opening. Excludes placement of rock/earthen material. Assumes no significant future head of water within workings above seal) </v>
      </c>
      <c r="P34" s="233"/>
      <c r="Q34" s="233"/>
      <c r="R34" s="233"/>
      <c r="S34" s="233"/>
      <c r="T34" s="233"/>
      <c r="U34" s="233"/>
      <c r="V34" s="233"/>
    </row>
    <row r="35" spans="1:22" s="243" customFormat="1" ht="93.75" customHeight="1" thickBot="1" x14ac:dyDescent="0.3">
      <c r="A35" s="1334"/>
      <c r="B35" s="245" t="s">
        <v>469</v>
      </c>
      <c r="C35" s="259" t="str">
        <f>VLOOKUP($B35,Activities!$A$10:$P$152,3,FALSE)</f>
        <v>The sealing of a shaft or adit with loose material or rock fill</v>
      </c>
      <c r="D35" s="239" t="s">
        <v>49</v>
      </c>
      <c r="E35" s="320"/>
      <c r="F35" s="246" t="str">
        <f>VLOOKUP($B35,Activities!$A$10:$P$152,4,FALSE)</f>
        <v>m3</v>
      </c>
      <c r="G35" s="313" t="s">
        <v>51</v>
      </c>
      <c r="H35" s="167" t="s">
        <v>264</v>
      </c>
      <c r="I35" s="349">
        <f>VLOOKUP(H35,U4:V7,2)</f>
        <v>0</v>
      </c>
      <c r="J35" s="269"/>
      <c r="K35" s="388">
        <f>IF(D35="Y",IF(J35="",I35*E35,J35*E35),0)</f>
        <v>0</v>
      </c>
      <c r="L35" s="248" t="str">
        <f>IFERROR(IF(D35="Y",K35/$K$59,0%),"0.0%")</f>
        <v>0.0%</v>
      </c>
      <c r="M35" s="290" t="str">
        <f>VLOOKUP($B35,Activities!$A$10:$S$152,19,FALSE)</f>
        <v xml:space="preserve">This activity covers the sealing of a shaft using loose material or rock fill.  The assumption is that the whole of the shaft is to be filled, or section of the adit, with suitable material or rock fill.  The activity consists of sourcing material, carting a distance (defined), dumping the material adjacent to the shaft and pushing the material into the shaft.  </v>
      </c>
      <c r="P35" s="233"/>
      <c r="Q35" s="233"/>
      <c r="R35" s="233"/>
      <c r="S35" s="233"/>
      <c r="T35" s="233"/>
      <c r="U35" s="233"/>
      <c r="V35" s="233"/>
    </row>
    <row r="36" spans="1:22" ht="48.75" thickBot="1" x14ac:dyDescent="0.3">
      <c r="A36" s="1334"/>
      <c r="B36" s="258" t="s">
        <v>403</v>
      </c>
      <c r="C36" s="259" t="str">
        <f>VLOOKUP($B36,Activities!$A$10:$P$152,3,FALSE)</f>
        <v xml:space="preserve">Sealing of Small Shafts and Adits </v>
      </c>
      <c r="D36" s="239" t="s">
        <v>49</v>
      </c>
      <c r="E36" s="240"/>
      <c r="F36" s="246" t="str">
        <f>VLOOKUP($B36,Activities!$A$10:$P$152,4,FALSE)</f>
        <v>m3</v>
      </c>
      <c r="G36" s="313" t="s">
        <v>51</v>
      </c>
      <c r="H36" s="167" t="s">
        <v>264</v>
      </c>
      <c r="I36" s="272">
        <f>VLOOKUP(H36,U11:V15,2)</f>
        <v>0</v>
      </c>
      <c r="J36" s="269"/>
      <c r="K36" s="388">
        <f>IF(D36="Y",IF(J36="",I36*E36,J36*E36),0)</f>
        <v>0</v>
      </c>
      <c r="L36" s="248" t="str">
        <f>IFERROR(IF(D36="Y",K36/$K$59,0%),"0.0%")</f>
        <v>0.0%</v>
      </c>
      <c r="M36" s="290" t="str">
        <f>VLOOKUP($B36,Activities!$A$10:$S$152,19,FALSE)</f>
        <v>This activity covers the winning of suitable material, transporting to the shaft or adit and then pushing the material into the shaft or adit to seal the access.  (Sealing a shaft or adit with concrete will need a special process)</v>
      </c>
    </row>
    <row r="37" spans="1:22" ht="54.75" customHeight="1" thickBot="1" x14ac:dyDescent="0.3">
      <c r="A37" s="1334"/>
      <c r="B37" s="102" t="s">
        <v>13</v>
      </c>
      <c r="C37" s="259" t="str">
        <f>VLOOKUP($B37,Activities!$A$10:$P$152,3,FALSE)</f>
        <v>Major Bulk Pushing/Dozing to achieve Final Land Forms</v>
      </c>
      <c r="D37" s="239" t="s">
        <v>49</v>
      </c>
      <c r="E37" s="320"/>
      <c r="F37" s="246" t="str">
        <f>VLOOKUP($B37,Activities!$A$10:$P$152,4,FALSE)</f>
        <v>m3</v>
      </c>
      <c r="G37" s="1269"/>
      <c r="H37" s="1270"/>
      <c r="I37" s="272">
        <f>VLOOKUP($B37,Activities!$A$10:$S$152,16,FALSE)</f>
        <v>0.96390609627070267</v>
      </c>
      <c r="J37" s="269"/>
      <c r="K37" s="387">
        <f>IF(D37="Y",IF(J37="",I37*E37,J37*E37),"")</f>
        <v>0</v>
      </c>
      <c r="L37" s="248" t="str">
        <f>IFERROR(IF(D37="Y",K37/$K$59,0%),"0.0%")</f>
        <v>0.0%</v>
      </c>
      <c r="M37" s="290" t="str">
        <f>VLOOKUP($B37,Activities!$A$10:$S$152,19,FALSE)</f>
        <v>This unit cost covers the use of a dozer to push material within reasonable confines to achieve a Final Land Form.  It is often undertaken prior to covering a tailing storage facility</v>
      </c>
    </row>
    <row r="38" spans="1:22" ht="15.75" thickBot="1" x14ac:dyDescent="0.3">
      <c r="A38" s="293" t="s">
        <v>53</v>
      </c>
      <c r="B38" s="345" t="str">
        <f>A34</f>
        <v xml:space="preserve">The Sealing of Portals and Adits including the shaping of land forms </v>
      </c>
      <c r="C38" s="251"/>
      <c r="D38" s="252"/>
      <c r="E38" s="253"/>
      <c r="F38" s="252"/>
      <c r="G38" s="252"/>
      <c r="H38" s="252"/>
      <c r="I38" s="254"/>
      <c r="J38" s="255"/>
      <c r="K38" s="256">
        <f>SUM(K34:K37)</f>
        <v>0</v>
      </c>
      <c r="L38" s="252"/>
      <c r="M38" s="257"/>
    </row>
    <row r="39" spans="1:22" ht="36.75" customHeight="1" thickBot="1" x14ac:dyDescent="0.3">
      <c r="A39" s="1333" t="s">
        <v>658</v>
      </c>
      <c r="B39" s="245" t="s">
        <v>17</v>
      </c>
      <c r="C39" s="259" t="str">
        <f>VLOOKUP($B39,Activities!$A$10:$P$152,3,FALSE)</f>
        <v xml:space="preserve">Excavation of earthen materials from local borrow pits, plus haulage </v>
      </c>
      <c r="D39" s="239" t="s">
        <v>49</v>
      </c>
      <c r="E39" s="346"/>
      <c r="F39" s="246" t="str">
        <f>VLOOKUP($B39,Activities!$A$10:$P$152,4,FALSE)</f>
        <v>m3</v>
      </c>
      <c r="G39" s="313" t="s">
        <v>51</v>
      </c>
      <c r="H39" s="140" t="s">
        <v>264</v>
      </c>
      <c r="I39" s="272">
        <f>VLOOKUP(H39,U20:V24,2)</f>
        <v>0</v>
      </c>
      <c r="J39" s="269"/>
      <c r="K39" s="390">
        <f t="shared" ref="K39" si="5">IF(D39="Y",IF(J39="",I39*E39,J39*E39),"")</f>
        <v>0</v>
      </c>
      <c r="L39" s="248" t="str">
        <f t="shared" ref="L39" si="6">IFERROR(IF(D39="Y",K39/$K$57,0%),"0.0%")</f>
        <v>0.0%</v>
      </c>
      <c r="M39" s="290" t="str">
        <f>VLOOKUP($B39,Activities!$A$10:$S$152,19,FALSE)</f>
        <v>This activity involves the excavation of earthern material from a local borrow pit and the loading of that material into a truck.  Haulage cost based on distance hauled.</v>
      </c>
    </row>
    <row r="40" spans="1:22" ht="48" thickBot="1" x14ac:dyDescent="0.3">
      <c r="A40" s="1334"/>
      <c r="B40" s="245" t="s">
        <v>18</v>
      </c>
      <c r="C40" s="259" t="str">
        <f>VLOOKUP($B40,Activities!$A$10:$P$152,3,FALSE)</f>
        <v>Spreading Materials on ground or an open area excluding compaction (&gt;1,000m3)</v>
      </c>
      <c r="D40" s="239" t="s">
        <v>49</v>
      </c>
      <c r="E40" s="320"/>
      <c r="F40" s="246" t="str">
        <f>VLOOKUP($B40,Activities!$A$10:$P$152,4,FALSE)</f>
        <v>m3</v>
      </c>
      <c r="G40" s="1269"/>
      <c r="H40" s="1270"/>
      <c r="I40" s="272">
        <f>VLOOKUP($B40,Activities!$A$10:$S$152,16,FALSE)</f>
        <v>1.0890037105820705</v>
      </c>
      <c r="J40" s="269"/>
      <c r="K40" s="388">
        <f t="shared" ref="K40:K52" si="7">IF(D40="Y",IF(J40="",I40*E40,J40*E40),0)</f>
        <v>0</v>
      </c>
      <c r="L40" s="248" t="str">
        <f t="shared" ref="L40:L52" si="8">IFERROR(IF(D40="Y",K40/$K$59,0%),"0.0%")</f>
        <v>0.0%</v>
      </c>
      <c r="M40" s="290" t="str">
        <f>VLOOKUP($B40,Activities!$A$10:$S$152,19,FALSE)</f>
        <v xml:space="preserve">This activity involves the spreading of material that has been transported and dumped at the work area. </v>
      </c>
    </row>
    <row r="41" spans="1:22" ht="42.75" customHeight="1" thickBot="1" x14ac:dyDescent="0.3">
      <c r="A41" s="1334"/>
      <c r="B41" s="245" t="s">
        <v>21</v>
      </c>
      <c r="C41" s="259" t="str">
        <f>VLOOKUP($B41,Activities!$A$10:$P$152,3,FALSE)</f>
        <v>Scarification to promote vegetation growth</v>
      </c>
      <c r="D41" s="239" t="s">
        <v>49</v>
      </c>
      <c r="E41" s="320"/>
      <c r="F41" s="246" t="str">
        <f>VLOOKUP($B41,Activities!$A$10:$P$152,4,FALSE)</f>
        <v>Ha</v>
      </c>
      <c r="G41" s="533"/>
      <c r="H41" s="534"/>
      <c r="I41" s="273">
        <f>VLOOKUP($B41,Activities!$A$10:$S$152,16,FALSE)</f>
        <v>323.54530924221694</v>
      </c>
      <c r="J41" s="269"/>
      <c r="K41" s="390">
        <f>IF(D41="Y",IF(J41="",I41*E41,J41*E41),"")</f>
        <v>0</v>
      </c>
      <c r="L41" s="248" t="str">
        <f>IFERROR(IF(D41="Y",K41/$K$68,0%),"0.0%")</f>
        <v>0.0%</v>
      </c>
      <c r="M41" s="290" t="str">
        <f>VLOOKUP($B41,Activities!$A$10:$S$152,19,FALSE)</f>
        <v xml:space="preserve">This activity is undertaken in preparation for the seeding of a particular area.  </v>
      </c>
    </row>
    <row r="42" spans="1:22" ht="36.75" customHeight="1" thickBot="1" x14ac:dyDescent="0.3">
      <c r="A42" s="1334"/>
      <c r="B42" s="245" t="s">
        <v>70</v>
      </c>
      <c r="C42" s="259" t="str">
        <f>VLOOKUP($B42,Activities!$A$10:$P$152,3,FALSE)</f>
        <v>Sourcing, Carting and Spreading of Topsoil over an Area</v>
      </c>
      <c r="D42" s="239" t="s">
        <v>49</v>
      </c>
      <c r="E42" s="320"/>
      <c r="F42" s="246" t="str">
        <f>VLOOKUP($B42,Activities!$A$10:$P$152,4,FALSE)</f>
        <v>m3</v>
      </c>
      <c r="G42" s="313" t="s">
        <v>51</v>
      </c>
      <c r="H42" s="140" t="s">
        <v>264</v>
      </c>
      <c r="I42" s="272">
        <f>VLOOKUP(H42,U28:V32,2)</f>
        <v>0</v>
      </c>
      <c r="J42" s="269"/>
      <c r="K42" s="388">
        <f>IF(D42="Y",IF(J42="",I42*E42,J42*E42),0)</f>
        <v>0</v>
      </c>
      <c r="L42" s="248" t="str">
        <f t="shared" si="8"/>
        <v>0.0%</v>
      </c>
      <c r="M42" s="290" t="str">
        <f>VLOOKUP($B42,Activities!$A$10:$S$152,19,FALSE)</f>
        <v>This activity covers the sourcing of topsoil or suitable growth medium, transporting from the source to the required area and then spreading it over that area.</v>
      </c>
    </row>
    <row r="43" spans="1:22" ht="46.5" customHeight="1" thickBot="1" x14ac:dyDescent="0.3">
      <c r="A43" s="1334"/>
      <c r="B43" s="245" t="s">
        <v>626</v>
      </c>
      <c r="C43" s="259" t="str">
        <f>VLOOKUP($B43,Activities!$A$10:$P$152,3,FALSE)</f>
        <v>Purchase and single application of ground ameliorants (e.g. gypsum)</v>
      </c>
      <c r="D43" s="239" t="s">
        <v>49</v>
      </c>
      <c r="E43" s="320"/>
      <c r="F43" s="246" t="str">
        <f>VLOOKUP($B43,Activities!$A$10:$P$152,4,FALSE)</f>
        <v>Ha</v>
      </c>
      <c r="G43" s="1269"/>
      <c r="H43" s="1270"/>
      <c r="I43" s="273">
        <f>VLOOKUP($B43,Activities!$A$10:$S$152,16,FALSE)</f>
        <v>877.38983538153695</v>
      </c>
      <c r="J43" s="269"/>
      <c r="K43" s="388">
        <f t="shared" ref="K43:K49" si="9">IF(D43="Y",IF(J43="",I43*E43,J43*E43),0)</f>
        <v>0</v>
      </c>
      <c r="L43" s="248" t="str">
        <f t="shared" ref="L43:L49" si="10">IFERROR(IF(D43="Y",K43/$K$59,0%),"0.0%")</f>
        <v>0.0%</v>
      </c>
      <c r="M43" s="290" t="str">
        <f>VLOOKUP($B43,Activities!$A$10:$S$152,19,FALSE)</f>
        <v>This Activity includes the purchase and single application of ground ameliorants (e.g. gypsum).</v>
      </c>
    </row>
    <row r="44" spans="1:22" ht="46.5" customHeight="1" thickBot="1" x14ac:dyDescent="0.3">
      <c r="A44" s="1334"/>
      <c r="B44" s="245" t="s">
        <v>627</v>
      </c>
      <c r="C44" s="259" t="str">
        <f>VLOOKUP($B44,Activities!$A$10:$P$152,3,FALSE)</f>
        <v>The purchase only of non-native pasture grasses</v>
      </c>
      <c r="D44" s="239" t="s">
        <v>49</v>
      </c>
      <c r="E44" s="320"/>
      <c r="F44" s="246" t="str">
        <f>VLOOKUP($B44,Activities!$A$10:$P$152,4,FALSE)</f>
        <v>Ha</v>
      </c>
      <c r="G44" s="1269"/>
      <c r="H44" s="1270"/>
      <c r="I44" s="273">
        <f>VLOOKUP($B44,Activities!$A$10:$S$152,16,FALSE)</f>
        <v>1774.5180283018869</v>
      </c>
      <c r="J44" s="269"/>
      <c r="K44" s="388">
        <f t="shared" si="9"/>
        <v>0</v>
      </c>
      <c r="L44" s="248" t="str">
        <f t="shared" si="10"/>
        <v>0.0%</v>
      </c>
      <c r="M44" s="290" t="str">
        <f>VLOOKUP($B44,Activities!$A$10:$S$152,19,FALSE)</f>
        <v>This activity covers the purchase of non-native pasture grasses</v>
      </c>
    </row>
    <row r="45" spans="1:22" ht="46.5" customHeight="1" thickBot="1" x14ac:dyDescent="0.3">
      <c r="A45" s="1334"/>
      <c r="B45" s="245" t="s">
        <v>628</v>
      </c>
      <c r="C45" s="259" t="str">
        <f>VLOOKUP($B45,Activities!$A$10:$P$152,3,FALSE)</f>
        <v>The purchase only of general native seed mix</v>
      </c>
      <c r="D45" s="239" t="s">
        <v>49</v>
      </c>
      <c r="E45" s="320"/>
      <c r="F45" s="246" t="str">
        <f>VLOOKUP($B45,Activities!$A$10:$P$152,4,FALSE)</f>
        <v>Ha</v>
      </c>
      <c r="G45" s="1269"/>
      <c r="H45" s="1270"/>
      <c r="I45" s="273">
        <f>VLOOKUP($B45,Activities!$A$10:$S$152,16,FALSE)</f>
        <v>3439.8717452830197</v>
      </c>
      <c r="J45" s="269"/>
      <c r="K45" s="388">
        <f t="shared" si="9"/>
        <v>0</v>
      </c>
      <c r="L45" s="248" t="str">
        <f t="shared" si="10"/>
        <v>0.0%</v>
      </c>
      <c r="M45" s="290" t="str">
        <f>VLOOKUP($B45,Activities!$A$10:$S$152,19,FALSE)</f>
        <v>This activity covers the purchase of general native seed mix</v>
      </c>
    </row>
    <row r="46" spans="1:22" ht="46.5" customHeight="1" thickBot="1" x14ac:dyDescent="0.3">
      <c r="A46" s="1334"/>
      <c r="B46" s="245" t="s">
        <v>629</v>
      </c>
      <c r="C46" s="259" t="str">
        <f>VLOOKUP($B46,Activities!$A$10:$P$152,3,FALSE)</f>
        <v>The purchase only of local provenance native seed mix</v>
      </c>
      <c r="D46" s="239" t="s">
        <v>49</v>
      </c>
      <c r="E46" s="320"/>
      <c r="F46" s="246" t="str">
        <f>VLOOKUP($B46,Activities!$A$10:$P$152,4,FALSE)</f>
        <v>Ha</v>
      </c>
      <c r="G46" s="1269"/>
      <c r="H46" s="1270"/>
      <c r="I46" s="273">
        <f>VLOOKUP($B46,Activities!$A$10:$S$152,16,FALSE)</f>
        <v>10525.680933962265</v>
      </c>
      <c r="J46" s="269"/>
      <c r="K46" s="388">
        <f t="shared" si="9"/>
        <v>0</v>
      </c>
      <c r="L46" s="248" t="str">
        <f t="shared" si="10"/>
        <v>0.0%</v>
      </c>
      <c r="M46" s="290" t="str">
        <f>VLOOKUP($B46,Activities!$A$10:$S$152,19,FALSE)</f>
        <v>This activity covers the purchase of local provenance native seed mix</v>
      </c>
    </row>
    <row r="47" spans="1:22" ht="46.5" customHeight="1" thickBot="1" x14ac:dyDescent="0.3">
      <c r="A47" s="1334"/>
      <c r="B47" s="245" t="s">
        <v>630</v>
      </c>
      <c r="C47" s="259" t="str">
        <f>VLOOKUP($B47,Activities!$A$10:$P$152,3,FALSE)</f>
        <v>The purchase only of fertiliser for broadcast application</v>
      </c>
      <c r="D47" s="239" t="s">
        <v>49</v>
      </c>
      <c r="E47" s="320"/>
      <c r="F47" s="246" t="str">
        <f>VLOOKUP($B47,Activities!$A$10:$P$152,4,FALSE)</f>
        <v>Ha</v>
      </c>
      <c r="G47" s="1269"/>
      <c r="H47" s="1270"/>
      <c r="I47" s="273">
        <f>VLOOKUP($B47,Activities!$A$10:$S$152,16,FALSE)</f>
        <v>613.30500000000006</v>
      </c>
      <c r="J47" s="269"/>
      <c r="K47" s="388">
        <f t="shared" si="9"/>
        <v>0</v>
      </c>
      <c r="L47" s="248" t="str">
        <f t="shared" si="10"/>
        <v>0.0%</v>
      </c>
      <c r="M47" s="290" t="str">
        <f>VLOOKUP($B47,Activities!$A$10:$S$152,19,FALSE)</f>
        <v>This activity covers the purchase of local fertiliser for broadcast application.  It does not inlcude the application.</v>
      </c>
    </row>
    <row r="48" spans="1:22" ht="46.5" customHeight="1" thickBot="1" x14ac:dyDescent="0.3">
      <c r="A48" s="1334"/>
      <c r="B48" s="245" t="s">
        <v>631</v>
      </c>
      <c r="C48" s="259" t="str">
        <f>VLOOKUP($B48,Activities!$A$10:$P$152,3,FALSE)</f>
        <v>The purchase of native tubestock (including slow release fertiliser)</v>
      </c>
      <c r="D48" s="239" t="s">
        <v>49</v>
      </c>
      <c r="E48" s="320"/>
      <c r="F48" s="246" t="str">
        <f>VLOOKUP($B48,Activities!$A$10:$P$152,4,FALSE)</f>
        <v>Ha</v>
      </c>
      <c r="G48" s="1269"/>
      <c r="H48" s="1270"/>
      <c r="I48" s="273">
        <f>VLOOKUP($B48,Activities!$A$10:$S$152,16,FALSE)</f>
        <v>19729.952830188682</v>
      </c>
      <c r="J48" s="269"/>
      <c r="K48" s="388">
        <f t="shared" si="9"/>
        <v>0</v>
      </c>
      <c r="L48" s="248" t="str">
        <f t="shared" si="10"/>
        <v>0.0%</v>
      </c>
      <c r="M48" s="290" t="str">
        <f>VLOOKUP($B48,Activities!$A$10:$S$152,19,FALSE)</f>
        <v>The Activity includes the purchase of native tubestock (including slow release fertiliser).  It does not include planting.</v>
      </c>
    </row>
    <row r="49" spans="1:13" ht="46.5" customHeight="1" thickBot="1" x14ac:dyDescent="0.3">
      <c r="A49" s="1334"/>
      <c r="B49" s="245" t="s">
        <v>632</v>
      </c>
      <c r="C49" s="259" t="str">
        <f>VLOOKUP($B49,Activities!$A$10:$P$152,3,FALSE)</f>
        <v>Direct seeding along rip line or mechanical broadcast seeding</v>
      </c>
      <c r="D49" s="239" t="s">
        <v>49</v>
      </c>
      <c r="E49" s="320"/>
      <c r="F49" s="246" t="str">
        <f>VLOOKUP($B49,Activities!$A$10:$P$152,4,FALSE)</f>
        <v>Ha</v>
      </c>
      <c r="G49" s="1269"/>
      <c r="H49" s="1270"/>
      <c r="I49" s="273">
        <f>VLOOKUP($B49,Activities!$A$10:$S$152,16,FALSE)</f>
        <v>2100.7838269402318</v>
      </c>
      <c r="J49" s="269"/>
      <c r="K49" s="388">
        <f t="shared" si="9"/>
        <v>0</v>
      </c>
      <c r="L49" s="248" t="str">
        <f t="shared" si="10"/>
        <v>0.0%</v>
      </c>
      <c r="M49" s="290" t="str">
        <f>VLOOKUP($B49,Activities!$A$10:$S$152,19,FALSE)</f>
        <v>Sowing of separately purchased seed and or fertiliser for broadcast application that involves scattering seed, by hand or mechanically, over a relatively large area.</v>
      </c>
    </row>
    <row r="50" spans="1:13" ht="46.5" customHeight="1" thickBot="1" x14ac:dyDescent="0.3">
      <c r="A50" s="1334"/>
      <c r="B50" s="245" t="s">
        <v>633</v>
      </c>
      <c r="C50" s="259" t="str">
        <f>VLOOKUP($B50,Activities!$A$10:$P$152,3,FALSE)</f>
        <v>Hydromulching (does not include seed or fertiliser)</v>
      </c>
      <c r="D50" s="239" t="s">
        <v>49</v>
      </c>
      <c r="E50" s="240"/>
      <c r="F50" s="246" t="str">
        <f>VLOOKUP($B50,Activities!$A$10:$P$152,4,FALSE)</f>
        <v>Ha</v>
      </c>
      <c r="G50" s="1269"/>
      <c r="H50" s="1270"/>
      <c r="I50" s="273">
        <f>VLOOKUP($B50,Activities!$A$10:$S$152,16,FALSE)</f>
        <v>1583.2664818030244</v>
      </c>
      <c r="J50" s="269"/>
      <c r="K50" s="388">
        <f t="shared" si="7"/>
        <v>0</v>
      </c>
      <c r="L50" s="248" t="str">
        <f t="shared" si="8"/>
        <v>0.0%</v>
      </c>
      <c r="M50" s="290" t="str">
        <f>VLOOKUP($B50,Activities!$A$10:$S$152,19,FALSE)</f>
        <v>Hydromulching planting process that uses a slurry of seed and mulch. It is often used as an erosion control technique as an alternative to the traditional process of broadcasting or sowing dry seed.</v>
      </c>
    </row>
    <row r="51" spans="1:13" ht="46.5" customHeight="1" thickBot="1" x14ac:dyDescent="0.3">
      <c r="A51" s="1334"/>
      <c r="B51" s="245" t="s">
        <v>717</v>
      </c>
      <c r="C51" s="259" t="str">
        <f>VLOOKUP($B51,Activities!$A$10:$P$152,3,FALSE)</f>
        <v>Planting of tubestock &lt;15cm (assumes 1,000 plants per hectare)</v>
      </c>
      <c r="D51" s="239" t="s">
        <v>49</v>
      </c>
      <c r="E51" s="240"/>
      <c r="F51" s="246" t="str">
        <f>VLOOKUP($B51,Activities!$A$10:$P$152,4,FALSE)</f>
        <v>Ha</v>
      </c>
      <c r="G51" s="1269"/>
      <c r="H51" s="1270"/>
      <c r="I51" s="273">
        <f>VLOOKUP($B51,Activities!$A$10:$S$152,16,FALSE)</f>
        <v>1714.118869047619</v>
      </c>
      <c r="J51" s="269"/>
      <c r="K51" s="388">
        <f t="shared" si="7"/>
        <v>0</v>
      </c>
      <c r="L51" s="248" t="str">
        <f t="shared" si="8"/>
        <v>0.0%</v>
      </c>
      <c r="M51" s="290" t="str">
        <f>VLOOKUP($B51,Activities!$A$10:$S$152,19,FALSE)</f>
        <v>This Activity covers the hand planting of tubestock plants across a broad area.</v>
      </c>
    </row>
    <row r="52" spans="1:13" ht="70.5" customHeight="1" thickBot="1" x14ac:dyDescent="0.3">
      <c r="A52" s="1335"/>
      <c r="B52" s="245" t="s">
        <v>25</v>
      </c>
      <c r="C52" s="259" t="str">
        <f>VLOOKUP($B52,Activities!$A$10:$P$152,3,FALSE)</f>
        <v xml:space="preserve">Construction of a stock proof fence including appropriate gates </v>
      </c>
      <c r="D52" s="239" t="s">
        <v>49</v>
      </c>
      <c r="E52" s="240"/>
      <c r="F52" s="246" t="str">
        <f>VLOOKUP($B52,Activities!$A$10:$P$152,4,FALSE)</f>
        <v>km</v>
      </c>
      <c r="G52" s="1269"/>
      <c r="H52" s="1270"/>
      <c r="I52" s="273">
        <f>VLOOKUP($B52,Activities!$A$10:$S$152,16,FALSE)</f>
        <v>13302.992584007126</v>
      </c>
      <c r="J52" s="269"/>
      <c r="K52" s="388">
        <f t="shared" si="7"/>
        <v>0</v>
      </c>
      <c r="L52" s="248" t="str">
        <f t="shared" si="8"/>
        <v>0.0%</v>
      </c>
      <c r="M52" s="290" t="str">
        <f>VLOOKUP($B52,Activities!$A$10:$S$152,19,FALSE)</f>
        <v>This activity involves the construction of a stock proof fence to protect revegetation against stock and to provide an obstacle to persons to prevent inadvertant access.  It is not designed to prevent a person climbing over it.  It includes an allowance for gates.</v>
      </c>
    </row>
    <row r="53" spans="1:13" ht="16.5" thickBot="1" x14ac:dyDescent="0.3">
      <c r="A53" s="293" t="s">
        <v>53</v>
      </c>
      <c r="B53" s="250" t="str">
        <f>A39</f>
        <v>Topsoil Preparation and Revegetation of Mine Area</v>
      </c>
      <c r="C53" s="493"/>
      <c r="D53" s="252"/>
      <c r="E53" s="253"/>
      <c r="F53" s="252"/>
      <c r="G53" s="252"/>
      <c r="H53" s="252"/>
      <c r="I53" s="254"/>
      <c r="J53" s="255"/>
      <c r="K53" s="256">
        <f>SUM(K39:K52)</f>
        <v>0</v>
      </c>
      <c r="L53" s="252"/>
      <c r="M53" s="257"/>
    </row>
    <row r="54" spans="1:13" ht="58.5" customHeight="1" thickBot="1" x14ac:dyDescent="0.3">
      <c r="A54" s="1333" t="s">
        <v>659</v>
      </c>
      <c r="B54" s="270"/>
      <c r="C54" s="218" t="s">
        <v>55</v>
      </c>
      <c r="D54" s="239" t="s">
        <v>52</v>
      </c>
      <c r="E54" s="346"/>
      <c r="F54" s="166"/>
      <c r="G54" s="1269"/>
      <c r="H54" s="1270"/>
      <c r="I54" s="347" t="s">
        <v>475</v>
      </c>
      <c r="J54" s="269"/>
      <c r="K54" s="388">
        <f>IF(D54="Y",J54*E54,0)</f>
        <v>0</v>
      </c>
      <c r="L54" s="248">
        <f>IFERROR(IF(D54="Y",K54/$K$59,0%),"0.0%")</f>
        <v>0</v>
      </c>
      <c r="M54" s="139" t="s">
        <v>56</v>
      </c>
    </row>
    <row r="55" spans="1:13" ht="58.5" customHeight="1" thickBot="1" x14ac:dyDescent="0.3">
      <c r="A55" s="1334"/>
      <c r="B55" s="270"/>
      <c r="C55" s="218" t="s">
        <v>55</v>
      </c>
      <c r="D55" s="239" t="s">
        <v>52</v>
      </c>
      <c r="E55" s="346"/>
      <c r="F55" s="166"/>
      <c r="G55" s="1269"/>
      <c r="H55" s="1270"/>
      <c r="I55" s="347" t="s">
        <v>475</v>
      </c>
      <c r="J55" s="269"/>
      <c r="K55" s="388">
        <f>IF(D55="Y",J55*E55,0)</f>
        <v>0</v>
      </c>
      <c r="L55" s="248">
        <f>IFERROR(IF(D55="Y",K55/$K$59,0%),"0.0%")</f>
        <v>0</v>
      </c>
      <c r="M55" s="139" t="s">
        <v>56</v>
      </c>
    </row>
    <row r="56" spans="1:13" ht="51" customHeight="1" thickBot="1" x14ac:dyDescent="0.3">
      <c r="A56" s="1335"/>
      <c r="B56" s="270"/>
      <c r="C56" s="218" t="s">
        <v>55</v>
      </c>
      <c r="D56" s="239" t="s">
        <v>52</v>
      </c>
      <c r="E56" s="346"/>
      <c r="F56" s="166"/>
      <c r="G56" s="1269"/>
      <c r="H56" s="1270"/>
      <c r="I56" s="347" t="s">
        <v>475</v>
      </c>
      <c r="J56" s="269"/>
      <c r="K56" s="388">
        <f>IF(D56="Y",J56*E56,0)</f>
        <v>0</v>
      </c>
      <c r="L56" s="248">
        <f>IFERROR(IF(D56="Y",K56/$K$59,0%),"0.0%")</f>
        <v>0</v>
      </c>
      <c r="M56" s="139" t="s">
        <v>56</v>
      </c>
    </row>
    <row r="57" spans="1:13" ht="15.75" thickBot="1" x14ac:dyDescent="0.3">
      <c r="A57" s="293" t="s">
        <v>53</v>
      </c>
      <c r="B57" s="250" t="str">
        <f>A54</f>
        <v>Other Activities in relation to the Underground Mine Area</v>
      </c>
      <c r="C57" s="251"/>
      <c r="D57" s="252"/>
      <c r="E57" s="253"/>
      <c r="F57" s="252"/>
      <c r="G57" s="252"/>
      <c r="H57" s="252"/>
      <c r="I57" s="254"/>
      <c r="J57" s="255"/>
      <c r="K57" s="256">
        <f>SUM(K54:K56)</f>
        <v>0</v>
      </c>
      <c r="L57" s="252"/>
      <c r="M57" s="257"/>
    </row>
    <row r="58" spans="1:13" x14ac:dyDescent="0.25">
      <c r="A58" s="260"/>
      <c r="B58" s="260"/>
      <c r="C58" s="261"/>
      <c r="D58" s="262"/>
      <c r="E58" s="263"/>
      <c r="F58" s="262"/>
      <c r="G58" s="262"/>
      <c r="H58" s="262"/>
      <c r="I58" s="264"/>
      <c r="J58" s="265"/>
      <c r="K58" s="266"/>
      <c r="L58" s="262"/>
      <c r="M58" s="261"/>
    </row>
    <row r="59" spans="1:13" ht="21" x14ac:dyDescent="0.25">
      <c r="A59" s="260"/>
      <c r="B59" s="260"/>
      <c r="C59" s="261"/>
      <c r="D59" s="262"/>
      <c r="E59" s="263"/>
      <c r="F59" s="262"/>
      <c r="G59" s="262"/>
      <c r="H59" s="262"/>
      <c r="J59" s="267" t="s">
        <v>830</v>
      </c>
      <c r="K59" s="268">
        <f>K57+K53+K38+K33+K30+K24</f>
        <v>0</v>
      </c>
      <c r="L59" s="262"/>
      <c r="M59" s="261"/>
    </row>
    <row r="60" spans="1:13" x14ac:dyDescent="0.25">
      <c r="A60" s="260"/>
      <c r="B60" s="260"/>
      <c r="C60" s="261"/>
      <c r="D60" s="262"/>
      <c r="E60" s="263"/>
      <c r="F60" s="262"/>
      <c r="G60" s="262"/>
      <c r="H60" s="262"/>
      <c r="I60" s="264"/>
      <c r="J60" s="265"/>
      <c r="K60" s="266"/>
      <c r="L60" s="262"/>
      <c r="M60" s="261"/>
    </row>
    <row r="61" spans="1:13" x14ac:dyDescent="0.25">
      <c r="A61" s="260"/>
      <c r="B61" s="260"/>
      <c r="C61" s="261"/>
      <c r="D61" s="262"/>
      <c r="E61" s="263"/>
      <c r="F61" s="262"/>
      <c r="G61" s="262"/>
      <c r="H61" s="262"/>
      <c r="I61" s="264"/>
      <c r="J61" s="265"/>
      <c r="K61" s="266"/>
      <c r="L61" s="262"/>
      <c r="M61" s="261"/>
    </row>
    <row r="62" spans="1:13" x14ac:dyDescent="0.25">
      <c r="A62" s="260"/>
      <c r="B62" s="260"/>
      <c r="C62" s="261"/>
      <c r="D62" s="262"/>
      <c r="E62" s="263"/>
      <c r="F62" s="262"/>
      <c r="G62" s="262"/>
      <c r="H62" s="262"/>
      <c r="I62" s="264"/>
      <c r="J62" s="265"/>
      <c r="K62" s="266"/>
      <c r="L62" s="262"/>
      <c r="M62" s="261"/>
    </row>
    <row r="63" spans="1:13" x14ac:dyDescent="0.25">
      <c r="A63" s="260"/>
      <c r="B63" s="260"/>
      <c r="C63" s="261"/>
      <c r="D63" s="262"/>
      <c r="E63" s="263"/>
      <c r="F63" s="262"/>
      <c r="G63" s="262"/>
      <c r="H63" s="262"/>
      <c r="I63" s="264"/>
      <c r="J63" s="265"/>
      <c r="K63" s="266"/>
      <c r="L63" s="262"/>
      <c r="M63" s="261"/>
    </row>
    <row r="64" spans="1:13" ht="15.75" x14ac:dyDescent="0.25">
      <c r="A64" s="260"/>
      <c r="B64" s="260"/>
      <c r="C64" s="261"/>
      <c r="D64" s="262"/>
      <c r="E64" s="303"/>
      <c r="F64" s="262"/>
      <c r="G64" s="262"/>
      <c r="H64" s="262"/>
      <c r="I64" s="264"/>
      <c r="J64" s="265"/>
      <c r="K64" s="266"/>
      <c r="L64" s="262"/>
      <c r="M64" s="261"/>
    </row>
    <row r="65" spans="1:13" x14ac:dyDescent="0.25">
      <c r="A65" s="260"/>
      <c r="B65" s="260"/>
      <c r="C65" s="261"/>
      <c r="D65" s="262"/>
      <c r="E65" s="263"/>
      <c r="F65" s="262"/>
      <c r="G65" s="262"/>
      <c r="H65" s="262"/>
      <c r="I65" s="264"/>
      <c r="J65" s="265"/>
      <c r="K65" s="266"/>
      <c r="L65" s="262"/>
      <c r="M65" s="261"/>
    </row>
    <row r="66" spans="1:13" x14ac:dyDescent="0.25">
      <c r="A66" s="260"/>
      <c r="B66" s="260"/>
      <c r="C66" s="261"/>
      <c r="D66" s="262"/>
      <c r="E66" s="263"/>
      <c r="F66" s="262"/>
      <c r="G66" s="262"/>
      <c r="H66" s="262"/>
      <c r="I66" s="264"/>
      <c r="J66" s="265"/>
      <c r="K66" s="266"/>
      <c r="L66" s="262"/>
      <c r="M66" s="261"/>
    </row>
    <row r="67" spans="1:13" x14ac:dyDescent="0.25">
      <c r="A67" s="260"/>
      <c r="B67" s="260"/>
      <c r="C67" s="261"/>
      <c r="D67" s="262"/>
      <c r="E67" s="263"/>
      <c r="F67" s="262"/>
      <c r="G67" s="262"/>
      <c r="H67" s="262"/>
      <c r="I67" s="264"/>
      <c r="J67" s="265"/>
      <c r="K67" s="266"/>
      <c r="L67" s="262"/>
      <c r="M67" s="261"/>
    </row>
    <row r="68" spans="1:13" x14ac:dyDescent="0.25">
      <c r="A68" s="260"/>
      <c r="B68" s="260"/>
      <c r="C68" s="261"/>
      <c r="D68" s="262"/>
      <c r="E68" s="263"/>
      <c r="F68" s="262"/>
      <c r="G68" s="262"/>
      <c r="H68" s="262"/>
      <c r="I68" s="264"/>
      <c r="J68" s="265"/>
      <c r="K68" s="266"/>
      <c r="L68" s="262"/>
      <c r="M68" s="261"/>
    </row>
    <row r="69" spans="1:13" x14ac:dyDescent="0.25">
      <c r="A69" s="260"/>
      <c r="B69" s="260"/>
      <c r="C69" s="261"/>
      <c r="D69" s="262"/>
      <c r="E69" s="263"/>
      <c r="F69" s="262"/>
      <c r="G69" s="262"/>
      <c r="H69" s="262"/>
      <c r="I69" s="264"/>
      <c r="J69" s="265"/>
      <c r="K69" s="266"/>
      <c r="L69" s="262"/>
      <c r="M69" s="261"/>
    </row>
    <row r="70" spans="1:13" x14ac:dyDescent="0.25">
      <c r="A70" s="260"/>
      <c r="B70" s="260"/>
      <c r="C70" s="261"/>
      <c r="D70" s="262"/>
      <c r="E70" s="263"/>
      <c r="F70" s="262"/>
      <c r="G70" s="262"/>
      <c r="H70" s="262"/>
      <c r="I70" s="264"/>
      <c r="J70" s="265"/>
      <c r="K70" s="266"/>
      <c r="L70" s="262"/>
      <c r="M70" s="261"/>
    </row>
    <row r="71" spans="1:13" x14ac:dyDescent="0.25">
      <c r="A71" s="260"/>
      <c r="B71" s="260"/>
      <c r="C71" s="261"/>
      <c r="D71" s="262"/>
      <c r="E71" s="262"/>
      <c r="F71" s="262"/>
      <c r="G71" s="262"/>
      <c r="H71" s="262"/>
      <c r="I71" s="264"/>
      <c r="J71" s="265"/>
      <c r="K71" s="266"/>
      <c r="L71" s="262"/>
      <c r="M71" s="261"/>
    </row>
    <row r="72" spans="1:13" x14ac:dyDescent="0.25">
      <c r="A72" s="260"/>
      <c r="B72" s="260"/>
      <c r="C72" s="261"/>
      <c r="D72" s="262"/>
      <c r="E72" s="262"/>
      <c r="F72" s="262"/>
      <c r="G72" s="262"/>
      <c r="H72" s="262"/>
      <c r="I72" s="264"/>
      <c r="J72" s="265"/>
      <c r="K72" s="266"/>
      <c r="L72" s="262"/>
      <c r="M72" s="261"/>
    </row>
    <row r="73" spans="1:13" x14ac:dyDescent="0.25">
      <c r="C73" s="261"/>
      <c r="D73" s="262"/>
      <c r="E73" s="262"/>
      <c r="F73" s="262"/>
      <c r="G73" s="262"/>
      <c r="H73" s="262"/>
      <c r="I73" s="264"/>
      <c r="J73" s="265"/>
      <c r="K73" s="262"/>
      <c r="L73" s="262"/>
      <c r="M73" s="261"/>
    </row>
    <row r="74" spans="1:13" x14ac:dyDescent="0.25">
      <c r="C74" s="261"/>
      <c r="D74" s="262"/>
      <c r="E74" s="262"/>
      <c r="F74" s="262"/>
      <c r="G74" s="262"/>
      <c r="H74" s="262"/>
      <c r="I74" s="264"/>
      <c r="J74" s="265"/>
      <c r="K74" s="262"/>
      <c r="L74" s="262"/>
      <c r="M74" s="261"/>
    </row>
    <row r="75" spans="1:13" x14ac:dyDescent="0.25">
      <c r="C75" s="261"/>
      <c r="D75" s="262"/>
      <c r="E75" s="262"/>
      <c r="F75" s="262"/>
      <c r="G75" s="262"/>
      <c r="H75" s="262"/>
      <c r="I75" s="262"/>
      <c r="J75" s="262"/>
      <c r="K75" s="262"/>
      <c r="L75" s="262"/>
      <c r="M75" s="261"/>
    </row>
    <row r="76" spans="1:13" x14ac:dyDescent="0.25">
      <c r="D76" s="262"/>
      <c r="E76" s="262"/>
      <c r="F76" s="262"/>
      <c r="G76" s="262"/>
      <c r="H76" s="262"/>
      <c r="I76" s="262"/>
      <c r="J76" s="262"/>
      <c r="K76" s="262"/>
      <c r="L76" s="262"/>
    </row>
    <row r="77" spans="1:13" x14ac:dyDescent="0.25">
      <c r="D77" s="262"/>
      <c r="E77" s="262"/>
      <c r="F77" s="262"/>
      <c r="G77" s="262"/>
      <c r="H77" s="262"/>
      <c r="I77" s="262"/>
      <c r="J77" s="262"/>
      <c r="K77" s="262"/>
      <c r="L77" s="262"/>
    </row>
    <row r="78" spans="1:13" x14ac:dyDescent="0.25">
      <c r="D78" s="262"/>
      <c r="E78" s="262"/>
      <c r="F78" s="262"/>
      <c r="G78" s="262"/>
      <c r="H78" s="262"/>
      <c r="I78" s="262"/>
      <c r="J78" s="262"/>
      <c r="K78" s="262"/>
      <c r="L78" s="262"/>
    </row>
    <row r="79" spans="1:13" x14ac:dyDescent="0.25">
      <c r="D79" s="262"/>
      <c r="E79" s="262"/>
      <c r="F79" s="262"/>
      <c r="G79" s="262"/>
      <c r="H79" s="262"/>
      <c r="I79" s="262"/>
      <c r="J79" s="262"/>
      <c r="K79" s="262"/>
      <c r="L79" s="262"/>
    </row>
    <row r="80" spans="1:13" x14ac:dyDescent="0.25">
      <c r="D80" s="262"/>
      <c r="E80" s="262"/>
      <c r="F80" s="262"/>
      <c r="G80" s="262"/>
      <c r="H80" s="262"/>
      <c r="I80" s="262"/>
      <c r="J80" s="262"/>
      <c r="K80" s="262"/>
      <c r="L80" s="262"/>
    </row>
    <row r="81" spans="4:12" x14ac:dyDescent="0.25">
      <c r="D81" s="262"/>
      <c r="E81" s="262"/>
      <c r="F81" s="262"/>
      <c r="G81" s="262"/>
      <c r="H81" s="262"/>
      <c r="I81" s="262"/>
      <c r="J81" s="262"/>
      <c r="K81" s="262"/>
      <c r="L81" s="262"/>
    </row>
    <row r="82" spans="4:12" x14ac:dyDescent="0.25">
      <c r="D82" s="262"/>
      <c r="E82" s="262"/>
      <c r="F82" s="262"/>
      <c r="G82" s="262"/>
      <c r="H82" s="262"/>
      <c r="I82" s="262"/>
      <c r="J82" s="262"/>
      <c r="K82" s="262"/>
      <c r="L82" s="262"/>
    </row>
    <row r="83" spans="4:12" x14ac:dyDescent="0.25">
      <c r="D83" s="262"/>
      <c r="E83" s="262"/>
      <c r="F83" s="262"/>
      <c r="G83" s="262"/>
      <c r="H83" s="262"/>
      <c r="I83" s="262"/>
      <c r="J83" s="262"/>
      <c r="K83" s="262"/>
      <c r="L83" s="262"/>
    </row>
    <row r="84" spans="4:12" x14ac:dyDescent="0.25">
      <c r="D84" s="262"/>
      <c r="E84" s="262"/>
      <c r="F84" s="262"/>
      <c r="G84" s="262"/>
      <c r="H84" s="262"/>
      <c r="I84" s="262"/>
      <c r="J84" s="262"/>
      <c r="K84" s="262"/>
      <c r="L84" s="262"/>
    </row>
    <row r="85" spans="4:12" x14ac:dyDescent="0.25">
      <c r="D85" s="262"/>
      <c r="E85" s="262"/>
      <c r="F85" s="262"/>
      <c r="G85" s="262"/>
      <c r="H85" s="262"/>
      <c r="I85" s="262"/>
      <c r="J85" s="262"/>
      <c r="K85" s="262"/>
      <c r="L85" s="262"/>
    </row>
    <row r="86" spans="4:12" x14ac:dyDescent="0.25">
      <c r="D86" s="262"/>
      <c r="E86" s="262"/>
      <c r="F86" s="262"/>
      <c r="G86" s="262"/>
      <c r="H86" s="262"/>
      <c r="I86" s="262"/>
      <c r="J86" s="262"/>
      <c r="K86" s="262"/>
      <c r="L86" s="262"/>
    </row>
    <row r="87" spans="4:12" x14ac:dyDescent="0.25">
      <c r="D87" s="262"/>
      <c r="E87" s="262"/>
      <c r="F87" s="262"/>
      <c r="G87" s="262"/>
      <c r="H87" s="262"/>
      <c r="I87" s="262"/>
      <c r="J87" s="262"/>
      <c r="K87" s="262"/>
      <c r="L87" s="262"/>
    </row>
  </sheetData>
  <sheetProtection algorithmName="SHA-512" hashValue="s2kaMEaFhXrRpmOkoidvei044ClB5a2ZFsnyj9fg0RJ6PbFRuQC6tNhkeurjkA+q1chLJ0461eHjON7XMzjlrg==" saltValue="O83eh7uigBqbv8OjmQA5tQ==" spinCount="100000" sheet="1" formatCells="0" formatRows="0" selectLockedCells="1"/>
  <mergeCells count="55">
    <mergeCell ref="R18:V18"/>
    <mergeCell ref="R26:V26"/>
    <mergeCell ref="G29:H29"/>
    <mergeCell ref="A25:A29"/>
    <mergeCell ref="A34:A37"/>
    <mergeCell ref="G34:H34"/>
    <mergeCell ref="G31:H31"/>
    <mergeCell ref="A31:A32"/>
    <mergeCell ref="G37:H37"/>
    <mergeCell ref="G27:H27"/>
    <mergeCell ref="G28:H28"/>
    <mergeCell ref="G20:H20"/>
    <mergeCell ref="G21:H21"/>
    <mergeCell ref="G23:H23"/>
    <mergeCell ref="G25:H25"/>
    <mergeCell ref="G26:H26"/>
    <mergeCell ref="A54:A56"/>
    <mergeCell ref="G54:H54"/>
    <mergeCell ref="G55:H55"/>
    <mergeCell ref="G56:H56"/>
    <mergeCell ref="G40:H40"/>
    <mergeCell ref="G50:H50"/>
    <mergeCell ref="G51:H51"/>
    <mergeCell ref="G52:H52"/>
    <mergeCell ref="A39:A52"/>
    <mergeCell ref="G43:H43"/>
    <mergeCell ref="G44:H44"/>
    <mergeCell ref="G45:H45"/>
    <mergeCell ref="G46:H46"/>
    <mergeCell ref="G47:H47"/>
    <mergeCell ref="G48:H48"/>
    <mergeCell ref="G49:H49"/>
    <mergeCell ref="A16:E19"/>
    <mergeCell ref="A22:A23"/>
    <mergeCell ref="K1:L1"/>
    <mergeCell ref="C2:E2"/>
    <mergeCell ref="A5:E6"/>
    <mergeCell ref="G5:J5"/>
    <mergeCell ref="G6:M7"/>
    <mergeCell ref="B7:E7"/>
    <mergeCell ref="F1:J3"/>
    <mergeCell ref="A1:B1"/>
    <mergeCell ref="C1:E1"/>
    <mergeCell ref="B8:E8"/>
    <mergeCell ref="G8:M19"/>
    <mergeCell ref="B9:E9"/>
    <mergeCell ref="B10:E10"/>
    <mergeCell ref="B11:E11"/>
    <mergeCell ref="R2:V2"/>
    <mergeCell ref="R9:V9"/>
    <mergeCell ref="A14:B14"/>
    <mergeCell ref="C14:E14"/>
    <mergeCell ref="A15:B15"/>
    <mergeCell ref="C15:E15"/>
    <mergeCell ref="B12:E12"/>
  </mergeCells>
  <dataValidations count="5">
    <dataValidation type="list" allowBlank="1" showInputMessage="1" showErrorMessage="1" sqref="H32 H35" xr:uid="{00000000-0002-0000-0700-000000000000}">
      <formula1>$U$4:$U$7</formula1>
    </dataValidation>
    <dataValidation type="list" allowBlank="1" showInputMessage="1" showErrorMessage="1" sqref="H39" xr:uid="{00000000-0002-0000-0700-000001000000}">
      <formula1>$U$20:$U$24</formula1>
    </dataValidation>
    <dataValidation type="list" allowBlank="1" showInputMessage="1" showErrorMessage="1" sqref="H22" xr:uid="{00000000-0002-0000-0700-000002000000}">
      <formula1>$X$2:$X$6</formula1>
    </dataValidation>
    <dataValidation type="list" allowBlank="1" showInputMessage="1" showErrorMessage="1" sqref="H36" xr:uid="{00000000-0002-0000-0700-000003000000}">
      <formula1>$U$11:$U$15</formula1>
    </dataValidation>
    <dataValidation type="list" allowBlank="1" showInputMessage="1" showErrorMessage="1" sqref="H42" xr:uid="{00000000-0002-0000-0700-000004000000}">
      <formula1>$U$28:$U$32</formula1>
    </dataValidation>
  </dataValidations>
  <pageMargins left="0.70866141732283472" right="0.70866141732283472" top="0.74803149606299213" bottom="0.74803149606299213" header="0.31496062992125984" footer="0.31496062992125984"/>
  <pageSetup paperSize="9" scale="52" fitToHeight="3" orientation="landscape" r:id="rId1"/>
  <headerFooter>
    <oddHeader>&amp;LDepartment for Energy and Mining&amp;C&amp;"Arial"&amp;12&amp;KA80000 OFFICIAL&amp;1#_x000D_</oddHeader>
    <oddFooter>&amp;L&amp;Z
&amp;F&amp;C&amp;P&amp;R&amp;D</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Z W A X W S I 5 V J O l A A A A 9 w A A A B I A H A B D b 2 5 m a W c v U G F j a 2 F n Z S 5 4 b W w g o h g A K K A U A A A A A A A A A A A A A A A A A A A A A A A A A A A A h Y 9 B D o I w F E S v Q r q n L d U Y Q z 4 l x q 0 k J k b j t s E K j f A x t F j u 5 s I j e Q U x i r p z O W / e Y u Z + v U H a 1 1 V w 0 a 0 1 D S Y k o p w E G v P m Y L B I S O e O 4 Z y k E t Y q P 6 l C B 4 O M N u 7 t I S G l c + e Y M e 8 9 9 R P a t A U T n E d s n 6 0 2 e a l r R T 6 y + S + H B q 1 T m G s i Y f c a I w W N x I y K K R e U A x s p Z A a / h h g G P 9 s f C M u u c l 2 r p c Z w s Q U 2 R m D v E / I B U E s D B B Q A A g A I A G V g F 1 k 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l Y B d Z K I p H u A 4 A A A A R A A A A E w A c A E Z v c m 1 1 b G F z L 1 N l Y 3 R p b 2 4 x L m 0 g o h g A K K A U A A A A A A A A A A A A A A A A A A A A A A A A A A A A K 0 5 N L s n M z 1 M I h t C G 1 g B Q S w E C L Q A U A A I A C A B l Y B d Z I j l U k 6 U A A A D 3 A A A A E g A A A A A A A A A A A A A A A A A A A A A A Q 2 9 u Z m l n L 1 B h Y 2 t h Z 2 U u e G 1 s U E s B A i 0 A F A A C A A g A Z W A X W Q / K 6 a u k A A A A 6 Q A A A B M A A A A A A A A A A A A A A A A A 8 Q A A A F t D b 2 5 0 Z W 5 0 X 1 R 5 c G V z X S 5 4 b W x Q S w E C L Q A U A A I A C A B l Y B d Z 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V V e 2 X a m 1 4 0 e H 5 W v S F u x 1 7 A A A A A A C A A A A A A A D Z g A A w A A A A B A A A A C Z E i 1 / D 1 q Z I h Y + 7 h o z 3 m U H A A A A A A S A A A C g A A A A E A A A A A u s r u T S + 2 n G k s V r 9 E 4 I K Y F Q A A A A y F P M 7 G W J g 4 y e k E p Y W o K W b s P i F A Z T 0 3 5 / y a B T P Q l U f 2 Y 0 6 I u s H t d M M k R A O 8 I 8 T n 1 Y C X J j p J B m 9 T 6 u 1 M d h b / P z J W g A a h S G q m 6 C 4 / 0 x D k e B a 0 I U A A A A v U e i u m y j Z 7 q R j a N d 3 z 2 d 1 p C T 2 H A = < / D a t a M a s h u p > 
</file>

<file path=customXml/itemProps1.xml><?xml version="1.0" encoding="utf-8"?>
<ds:datastoreItem xmlns:ds="http://schemas.openxmlformats.org/officeDocument/2006/customXml" ds:itemID="{041C3500-D4D8-495A-A50A-4E73BEE10287}">
  <ds:schemaRefs>
    <ds:schemaRef ds:uri="http://schemas.microsoft.com/DataMashup"/>
  </ds:schemaRefs>
</ds:datastoreItem>
</file>

<file path=docMetadata/LabelInfo.xml><?xml version="1.0" encoding="utf-8"?>
<clbl:labelList xmlns:clbl="http://schemas.microsoft.com/office/2020/mipLabelMetadata">
  <clbl:label id="{77274858-3b1d-4431-8679-d878f40e28fd}" enabled="1" method="Privileged" siteId="{bda528f7-fca9-432f-bc98-bd7e90d40906}"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36</vt:i4>
      </vt:variant>
      <vt:variant>
        <vt:lpstr>Named Ranges</vt:lpstr>
      </vt:variant>
      <vt:variant>
        <vt:i4>53</vt:i4>
      </vt:variant>
    </vt:vector>
  </HeadingPairs>
  <TitlesOfParts>
    <vt:vector size="89" baseType="lpstr">
      <vt:lpstr>Cover Sheet</vt:lpstr>
      <vt:lpstr>Version Control</vt:lpstr>
      <vt:lpstr>Input Page</vt:lpstr>
      <vt:lpstr>Distance Sheet</vt:lpstr>
      <vt:lpstr>Activities</vt:lpstr>
      <vt:lpstr>Summary Page</vt:lpstr>
      <vt:lpstr>PC 1 Exploration</vt:lpstr>
      <vt:lpstr>Exploration Calculations</vt:lpstr>
      <vt:lpstr>PC 2 Underground Workings</vt:lpstr>
      <vt:lpstr>PC 3 Open Cut Pit 1</vt:lpstr>
      <vt:lpstr>PC 3 Open Cut Pit 2</vt:lpstr>
      <vt:lpstr>PC 3 Open Cut Pit 3</vt:lpstr>
      <vt:lpstr>PC 4 Waste Dumps 1</vt:lpstr>
      <vt:lpstr>PC 4 Waste Dumps 2</vt:lpstr>
      <vt:lpstr>PC 4 Waste Dumps 3</vt:lpstr>
      <vt:lpstr>PC 5 Processing Facilities</vt:lpstr>
      <vt:lpstr>PC 6 Tailings Storage 1</vt:lpstr>
      <vt:lpstr>PC 6 Tailings Storage 2</vt:lpstr>
      <vt:lpstr>PC 6 Tailings Storage 3</vt:lpstr>
      <vt:lpstr>PC 7 Heap Leach Facilities 1</vt:lpstr>
      <vt:lpstr>PC 7 Heap Leach Facilities  2</vt:lpstr>
      <vt:lpstr>PC 8 Rail Facilities</vt:lpstr>
      <vt:lpstr>PC 9 Haul and Access Roads</vt:lpstr>
      <vt:lpstr>PC 10 Admin and Accommodation</vt:lpstr>
      <vt:lpstr>PC 11 Ancillary Areas </vt:lpstr>
      <vt:lpstr>PC 12 Borrow Pits</vt:lpstr>
      <vt:lpstr>PC 13 Services Infrastructure 1</vt:lpstr>
      <vt:lpstr>PC 13 Services Infrastructure 2</vt:lpstr>
      <vt:lpstr>PC 13 Services Infrastructure 3</vt:lpstr>
      <vt:lpstr>PC 14 Water Management</vt:lpstr>
      <vt:lpstr>PC 16 Equipment Mob &amp; Demob</vt:lpstr>
      <vt:lpstr>PC 17 Monitoring and Other Cost</vt:lpstr>
      <vt:lpstr>Calculations</vt:lpstr>
      <vt:lpstr>Mob &amp; Demob Equipment List</vt:lpstr>
      <vt:lpstr>Exploration Calc Explanation</vt:lpstr>
      <vt:lpstr>EARF</vt:lpstr>
      <vt:lpstr>'Input Page'!Print_Area</vt:lpstr>
      <vt:lpstr>'PC 1 Exploration'!Print_Area</vt:lpstr>
      <vt:lpstr>'PC 10 Admin and Accommodation'!Print_Area</vt:lpstr>
      <vt:lpstr>'PC 11 Ancillary Areas '!Print_Area</vt:lpstr>
      <vt:lpstr>'PC 12 Borrow Pits'!Print_Area</vt:lpstr>
      <vt:lpstr>'PC 13 Services Infrastructure 1'!Print_Area</vt:lpstr>
      <vt:lpstr>'PC 13 Services Infrastructure 2'!Print_Area</vt:lpstr>
      <vt:lpstr>'PC 13 Services Infrastructure 3'!Print_Area</vt:lpstr>
      <vt:lpstr>'PC 14 Water Management'!Print_Area</vt:lpstr>
      <vt:lpstr>'PC 16 Equipment Mob &amp; Demob'!Print_Area</vt:lpstr>
      <vt:lpstr>'PC 17 Monitoring and Other Cost'!Print_Area</vt:lpstr>
      <vt:lpstr>'PC 2 Underground Workings'!Print_Area</vt:lpstr>
      <vt:lpstr>'PC 3 Open Cut Pit 1'!Print_Area</vt:lpstr>
      <vt:lpstr>'PC 3 Open Cut Pit 2'!Print_Area</vt:lpstr>
      <vt:lpstr>'PC 3 Open Cut Pit 3'!Print_Area</vt:lpstr>
      <vt:lpstr>'PC 4 Waste Dumps 1'!Print_Area</vt:lpstr>
      <vt:lpstr>'PC 4 Waste Dumps 2'!Print_Area</vt:lpstr>
      <vt:lpstr>'PC 4 Waste Dumps 3'!Print_Area</vt:lpstr>
      <vt:lpstr>'PC 5 Processing Facilities'!Print_Area</vt:lpstr>
      <vt:lpstr>'PC 6 Tailings Storage 1'!Print_Area</vt:lpstr>
      <vt:lpstr>'PC 6 Tailings Storage 2'!Print_Area</vt:lpstr>
      <vt:lpstr>'PC 6 Tailings Storage 3'!Print_Area</vt:lpstr>
      <vt:lpstr>'PC 7 Heap Leach Facilities  2'!Print_Area</vt:lpstr>
      <vt:lpstr>'PC 7 Heap Leach Facilities 1'!Print_Area</vt:lpstr>
      <vt:lpstr>'PC 8 Rail Facilities'!Print_Area</vt:lpstr>
      <vt:lpstr>'PC 9 Haul and Access Roads'!Print_Area</vt:lpstr>
      <vt:lpstr>'Summary Page'!Print_Area</vt:lpstr>
      <vt:lpstr>Activities!Print_Titles</vt:lpstr>
      <vt:lpstr>'PC 1 Exploration'!Print_Titles</vt:lpstr>
      <vt:lpstr>'PC 10 Admin and Accommodation'!Print_Titles</vt:lpstr>
      <vt:lpstr>'PC 11 Ancillary Areas '!Print_Titles</vt:lpstr>
      <vt:lpstr>'PC 12 Borrow Pits'!Print_Titles</vt:lpstr>
      <vt:lpstr>'PC 13 Services Infrastructure 1'!Print_Titles</vt:lpstr>
      <vt:lpstr>'PC 13 Services Infrastructure 2'!Print_Titles</vt:lpstr>
      <vt:lpstr>'PC 13 Services Infrastructure 3'!Print_Titles</vt:lpstr>
      <vt:lpstr>'PC 14 Water Management'!Print_Titles</vt:lpstr>
      <vt:lpstr>'PC 16 Equipment Mob &amp; Demob'!Print_Titles</vt:lpstr>
      <vt:lpstr>'PC 3 Open Cut Pit 1'!Print_Titles</vt:lpstr>
      <vt:lpstr>'PC 3 Open Cut Pit 2'!Print_Titles</vt:lpstr>
      <vt:lpstr>'PC 3 Open Cut Pit 3'!Print_Titles</vt:lpstr>
      <vt:lpstr>'PC 4 Waste Dumps 1'!Print_Titles</vt:lpstr>
      <vt:lpstr>'PC 4 Waste Dumps 2'!Print_Titles</vt:lpstr>
      <vt:lpstr>'PC 4 Waste Dumps 3'!Print_Titles</vt:lpstr>
      <vt:lpstr>'PC 5 Processing Facilities'!Print_Titles</vt:lpstr>
      <vt:lpstr>'PC 6 Tailings Storage 1'!Print_Titles</vt:lpstr>
      <vt:lpstr>'PC 6 Tailings Storage 2'!Print_Titles</vt:lpstr>
      <vt:lpstr>'PC 6 Tailings Storage 3'!Print_Titles</vt:lpstr>
      <vt:lpstr>'PC 8 Rail Facilities'!Print_Titles</vt:lpstr>
      <vt:lpstr>ResidualRiskStructures</vt:lpstr>
      <vt:lpstr>'PC 8 Rail Facilities'!Volume</vt:lpstr>
      <vt:lpstr>Volume</vt:lpstr>
      <vt:lpstr>'PC 8 Rail Facilities'!VolumeUGTank</vt:lpstr>
      <vt:lpstr>VolumeUGTank</vt:lpstr>
    </vt:vector>
  </TitlesOfParts>
  <Company>PIRSA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 Ward</dc:creator>
  <cp:lastModifiedBy>Yanez, Beiha (DEM)</cp:lastModifiedBy>
  <cp:lastPrinted>2019-10-28T21:18:49Z</cp:lastPrinted>
  <dcterms:created xsi:type="dcterms:W3CDTF">2014-10-07T03:11:34Z</dcterms:created>
  <dcterms:modified xsi:type="dcterms:W3CDTF">2024-11-05T23:55:14Z</dcterms:modified>
</cp:coreProperties>
</file>