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ehssupport-my.sharepoint.com/personal/kevin_simpson_ehs-support_com/Documents/Desktop/DEM/"/>
    </mc:Choice>
  </mc:AlternateContent>
  <xr:revisionPtr revIDLastSave="1" documentId="8_{86807299-DBA6-48D8-8B68-F092D4367B42}" xr6:coauthVersionLast="47" xr6:coauthVersionMax="47" xr10:uidLastSave="{F8C21DC9-70EC-4113-AC5F-3168CDF13347}"/>
  <workbookProtection workbookAlgorithmName="SHA-512" workbookHashValue="tryej5BuQn1X0X4/sqaozPgJZMDcUhce79jm5ffOJ0NhBMw6o2uKb1fxVyyaC6o1J7THTV9c/DaO2OKmrxsGgA==" workbookSaltValue="lLY8dvxq59qmnB9+uYwkRA==" workbookSpinCount="100000" lockStructure="1"/>
  <bookViews>
    <workbookView xWindow="-110" yWindow="-110" windowWidth="19420" windowHeight="11500" xr2:uid="{6187A976-CE94-4A94-9CC2-0F4AE7505A03}"/>
  </bookViews>
  <sheets>
    <sheet name="Information" sheetId="2" r:id="rId1"/>
    <sheet name="User Guide" sheetId="19" r:id="rId2"/>
    <sheet name="Summary" sheetId="8" r:id="rId3"/>
    <sheet name="Solar" sheetId="3" r:id="rId4"/>
    <sheet name="Wind" sheetId="13" r:id="rId5"/>
    <sheet name="BESS" sheetId="24" r:id="rId6"/>
    <sheet name="Green Hydrogen" sheetId="20" r:id="rId7"/>
    <sheet name="Cost Schedule" sheetId="12" r:id="rId8"/>
    <sheet name="Rates" sheetId="4" r:id="rId9"/>
    <sheet name="Productivity" sheetId="5" r:id="rId10"/>
    <sheet name="Assumptions" sheetId="7" r:id="rId11"/>
    <sheet name="Panels" sheetId="9" r:id="rId12"/>
    <sheet name="Turbines" sheetId="14" r:id="rId13"/>
    <sheet name="Batteries" sheetId="22" r:id="rId14"/>
    <sheet name="Electrolysers" sheetId="26" r:id="rId15"/>
    <sheet name="Lists" sheetId="11" r:id="rId16"/>
  </sheets>
  <definedNames>
    <definedName name="Admin_labour">Rates!$B$23</definedName>
    <definedName name="Admin_labour_rate">Rates!$D$23</definedName>
    <definedName name="Aluminium">Lists!$B$29</definedName>
    <definedName name="Ameliorants_app_rate">Assumptions!$E$95:$E$96</definedName>
    <definedName name="Ameliorants_names">Rates!$B$65:$B$66</definedName>
    <definedName name="Ameliorants_rates">Rates!$D$65:$D$66</definedName>
    <definedName name="Ameliorants_rates_UR">'Cost Schedule'!$C$17:$C$18</definedName>
    <definedName name="Ameliorants_soil_names_As">Assumptions!$B$95:$B$96</definedName>
    <definedName name="Arid">Lists!$B$33</definedName>
    <definedName name="Asphalt_surface_cover">Assumptions!$E$149</definedName>
    <definedName name="Associate_Engineer_Geologist_Scientist">Rates!$B$17</definedName>
    <definedName name="Associate_Engineer_Geologist_Scientist_rate">Rates!$D$17</definedName>
    <definedName name="Assumptions">Assumptions!$B$4</definedName>
    <definedName name="Auditor_Director">Rates!$B$21</definedName>
    <definedName name="Auditor_Director_rate">Rates!$D$21</definedName>
    <definedName name="Backhoe_420F">Rates!$B$9</definedName>
    <definedName name="Backhoe_420F_rate">Rates!$D$9</definedName>
    <definedName name="Backhoe_attachments">Rates!$B$10</definedName>
    <definedName name="Backhoe_attachments_rate">Rates!$D$10</definedName>
    <definedName name="Batteries" localSheetId="14">Electrolysers!$B$4</definedName>
    <definedName name="Batteries">Batteries!$B$4</definedName>
    <definedName name="BESS">BESS!$B$8</definedName>
    <definedName name="BESS_aluminium">Batteries!$D$10:$N$10</definedName>
    <definedName name="BESS_copper">Batteries!$D$9:$N$9</definedName>
    <definedName name="BESS_electronics">Batteries!$D$12:$N$12</definedName>
    <definedName name="BESS_fluids">Batteries!$D$14:$N$14</definedName>
    <definedName name="BESS_glass_etc">Batteries!$D$15:$N$15</definedName>
    <definedName name="BESS_headers">Batteries!$B$5:$B$24</definedName>
    <definedName name="BESS_LiFePO4_cells">Batteries!$D$11:$N$11</definedName>
    <definedName name="BESS_liquid">Batteries!$D$24:$N$24</definedName>
    <definedName name="BESS_mass">Batteries!$D$6:$N$6</definedName>
    <definedName name="BESS_models">Batteries!$D$4:$N$4</definedName>
    <definedName name="BESS_other">Batteries!$D$16:$N$16</definedName>
    <definedName name="BESS_plastics">Batteries!$D$13:$N$13</definedName>
    <definedName name="BESS_slab_footprint">Batteries!$D$22:$N$22</definedName>
    <definedName name="BESS_steel">Batteries!$D$8:$N$8</definedName>
    <definedName name="BESS_values">Batteries!$D$5:$N$24</definedName>
    <definedName name="Blades_haul_unload_distance_avg">'Cost Schedule'!$G$138:$G$156</definedName>
    <definedName name="Blades_hub_haul_unload_names_UR">'Cost Schedule'!$B$138:$B$156</definedName>
    <definedName name="Blades_hub_haul_unload_rates_UR">'Cost Schedule'!$C$138:$C$156</definedName>
    <definedName name="Blades_hubs_per_truck">Productivity!$C$97</definedName>
    <definedName name="Cable_drums_haul_unload_distance_avg">'Cost Schedule'!$G$201:$G$219</definedName>
    <definedName name="Cable_drums_haul_unload_names_UR">'Cost Schedule'!$B$201:$B$219</definedName>
    <definedName name="Cable_drums_haul_unload_rates_UR">'Cost Schedule'!$C$201:$C$219</definedName>
    <definedName name="Cables_haul_unload_distance_avg">'Cost Schedule'!$G$180:$G$198</definedName>
    <definedName name="Compactor_CP633E_Sheepsfoot">Rates!$B$12</definedName>
    <definedName name="Compactor_CP633E_Sheepsfoot_rate">Rates!$D$12</definedName>
    <definedName name="Concrete_break_rate">Productivity!$C$58</definedName>
    <definedName name="Concrete_crush_30mm">Productivity!$C$9</definedName>
    <definedName name="Concrete_crush_50mm">Productivity!$C$8</definedName>
    <definedName name="Concrete_crush_75mm">Productivity!$C$7</definedName>
    <definedName name="Concrete_crush_names_UR">'Cost Schedule'!$B$43:$B$45</definedName>
    <definedName name="Concrete_crush_rates_UR">'Cost Schedule'!$C$43:$C$45</definedName>
    <definedName name="Concrete_crush_to_30mm_rate">'Cost Schedule'!$C$45</definedName>
    <definedName name="Concrete_crush_to_50mm_rate">'Cost Schedule'!$C$44</definedName>
    <definedName name="Concrete_crush_to_75mm_rate">'Cost Schedule'!$C$43</definedName>
    <definedName name="Concrete_crushing_plant">Rates!$B$14</definedName>
    <definedName name="Concrete_crushing_plant_rate">Rates!$D$14</definedName>
    <definedName name="Concrete_default_thickness">Assumptions!$E$121</definedName>
    <definedName name="Concrete_density">Assumptions!$E$120</definedName>
    <definedName name="Concrete_disposal_distance">Assumptions!$E$164</definedName>
    <definedName name="Concrete_footing_Module">Assumptions!$E$147</definedName>
    <definedName name="Concrete_slab_thickness_Transformer">Assumptions!$E$148</definedName>
    <definedName name="Concrete_surface_cover_Building">Assumptions!$E$145</definedName>
    <definedName name="Concrete_surface_cover_Parking">Assumptions!$E$146</definedName>
    <definedName name="Concrete_truck_packing_factor">Assumptions!$E$122</definedName>
    <definedName name="Construction_labour">Rates!$B$91</definedName>
    <definedName name="Construction_labour_rate">Rates!$D$91</definedName>
    <definedName name="Contingency_percentage">Assumptions!$E$132</definedName>
    <definedName name="Copper">Lists!$B$28</definedName>
    <definedName name="Copper_cables_haul_unload_names_UR">'Cost Schedule'!$B$180:$B$198</definedName>
    <definedName name="Copper_cables_haul_unload_rates_UR">'Cost Schedule'!$C$180:$C$198</definedName>
    <definedName name="Cost_Schedule">'Cost Schedule'!$B$4</definedName>
    <definedName name="Crane_1000t">Rates!$B$30</definedName>
    <definedName name="Crane_1000t_rate">Rates!$D$30</definedName>
    <definedName name="Crane_120t">Rates!$B$28</definedName>
    <definedName name="Crane_120t_rate">Rates!$D$28</definedName>
    <definedName name="Crane_20t">Rates!$B$26</definedName>
    <definedName name="Crane_20t_rate">Rates!$D$26</definedName>
    <definedName name="Crane_500t">Rates!$B$29</definedName>
    <definedName name="Crane_500t_rate">Rates!$D$29</definedName>
    <definedName name="Crane_50t">Rates!$B$27</definedName>
    <definedName name="Crane_50t_rate">Rates!$D$27</definedName>
    <definedName name="Demolition_crew">Rates!$B$90</definedName>
    <definedName name="Demolition_crew_rate">Rates!$D$90</definedName>
    <definedName name="Disposal_gate_fee_Construction_Debris">Rates!$B$109</definedName>
    <definedName name="Disposal_gate_fee_Construction_Debris_rate">Rates!$D$109</definedName>
    <definedName name="Disposal_gate_fee_Low_level_solid_waste">Rates!$B$114</definedName>
    <definedName name="Disposal_gate_fee_Low_level_solid_waste_rate">Rates!$D$114</definedName>
    <definedName name="Disposal_gate_fee_names">Rates!$B$109:$B$115</definedName>
    <definedName name="Disposal_gate_fee_oil_rate">Rates!$D$126</definedName>
    <definedName name="Disposal_gate_fee_oily_water">Rates!$B$125</definedName>
    <definedName name="Disposal_gate_fee_oily_water_rate">Rates!$D$125</definedName>
    <definedName name="Disposal_gate_fee_rates">Rates!$D$109:$D$115</definedName>
    <definedName name="Disposal_gate_fee_Steel">Rates!$D$110</definedName>
    <definedName name="Distances_short">Lists!$B$108:$B$111</definedName>
    <definedName name="Double_skin_tank">Lists!$B$132</definedName>
    <definedName name="Dozer_applied">Lists!$B$103</definedName>
    <definedName name="Dozer_average_values_P">Productivity!$C$22:$P$27</definedName>
    <definedName name="Dozer_D6R">Productivity!$B$22:$B$27</definedName>
    <definedName name="Dozer_D8R">Rates!$B$33</definedName>
    <definedName name="Dozer_D8R_rate">Rates!$D$33</definedName>
    <definedName name="Dozer_lengths_L">Lists!$B$12:$B$25</definedName>
    <definedName name="Dozer_lengths_P">Productivity!$C$21:$P$21</definedName>
    <definedName name="Dozer_names_P">Productivity!$B$14:$B$19</definedName>
    <definedName name="Dozer_push_length_P">Productivity!$C$13:$O$13</definedName>
    <definedName name="Dozer_rip_time_P">Productivity!$C$38</definedName>
    <definedName name="Dozer_values_P">Productivity!$C$14:$O$19</definedName>
    <definedName name="Draftsman_Technician">Rates!$B$22</definedName>
    <definedName name="Draftsman_Technician_rate">Rates!$D$22</definedName>
    <definedName name="Drums_per_truck">Productivity!$C$100</definedName>
    <definedName name="Electrical_cable_material">Lists!$B$28:$B$29</definedName>
    <definedName name="Electrical_cables_km_per_drum_Ass">Assumptions!$A$35:$A$85</definedName>
    <definedName name="Electrical_cables_names_Ass">Assumptions!$B$35:$B$85</definedName>
    <definedName name="Electrician">Rates!$B$85</definedName>
    <definedName name="Electrician_rate">Rates!$D$85</definedName>
    <definedName name="Electrolyser_20ft_containers">Electrolysers!$D$10:$N$10</definedName>
    <definedName name="Electrolyser_40ft_containers">Electrolysers!$D$11:$N$11</definedName>
    <definedName name="Electrolyser_capacity">Electrolysers!$D$8:$N$8</definedName>
    <definedName name="Electrolyser_liquids">Electrolysers!$D$15:$N$15</definedName>
    <definedName name="Electrolyser_models">Electrolysers!$D$4:$N$4</definedName>
    <definedName name="Electrolysers_water_consumption">Electrolysers!$D$13:$N$13</definedName>
    <definedName name="Excavator_20t">Rates!$B$35</definedName>
    <definedName name="Excavator_20t_grapple">Rates!$B$46</definedName>
    <definedName name="Excavator_20t_grapple_rate">Rates!$D$46</definedName>
    <definedName name="Excavator_20t_hammer">Rates!$B$40</definedName>
    <definedName name="Excavator_20t_hammer_rate">Rates!$D$40</definedName>
    <definedName name="Excavator_20t_rate">Rates!$D$35</definedName>
    <definedName name="Excavator_20t_shears">Rates!$B$43</definedName>
    <definedName name="Excavator_20t_shears_rate">Rates!$D$43</definedName>
    <definedName name="Excavator_40t">Rates!$B$36</definedName>
    <definedName name="Excavator_40t_grapple">Rates!$B$47</definedName>
    <definedName name="Excavator_40t_grapple_rate">Rates!$D$47</definedName>
    <definedName name="Excavator_40t_hammer">Rates!$B$41</definedName>
    <definedName name="Excavator_40t_hammer_rate">Rates!$D$41</definedName>
    <definedName name="Excavator_40t_rate">Rates!$D$36</definedName>
    <definedName name="Excavator_40t_shears">Rates!$B$44</definedName>
    <definedName name="Excavator_40t_shears_rate">Rates!$D$44</definedName>
    <definedName name="Excavator_74t">Rates!$B$37</definedName>
    <definedName name="Excavator_74t_grapple">Rates!$B$48</definedName>
    <definedName name="Excavator_74t_grapple_rate">Rates!$D$48</definedName>
    <definedName name="Excavator_74t_hammer">Rates!$B$42</definedName>
    <definedName name="Excavator_74t_hammer_rate">Rates!$D$42</definedName>
    <definedName name="Excavator_74t_rate">Rates!$D$37</definedName>
    <definedName name="Excavator_74t_shears">Rates!$B$45</definedName>
    <definedName name="Excavator_74t_shears_rate">Rates!$D$45</definedName>
    <definedName name="Excavator_Cut_Cladding">Productivity!$C$52</definedName>
    <definedName name="Excavator_Cut_Pipe">Productivity!$C$51</definedName>
    <definedName name="Excavator_Cut_Steel_Plate">Productivity!$C$53</definedName>
    <definedName name="Excavator_PC_1900">Rates!$B$38</definedName>
    <definedName name="Excavator_PC_1900_rate">Rates!$D$38</definedName>
    <definedName name="Explosives_for_wind_turbine_collapse">Rates!$B$50</definedName>
    <definedName name="Explosives_wind_turbine_collapse_rate">Rates!$D$50</definedName>
    <definedName name="Fertiliser_app_rate">Assumptions!$E$99:$E$100</definedName>
    <definedName name="Fertiliser_Ass">Assumptions!$B$99:$B$100</definedName>
    <definedName name="Fertiliser_names">Rates!$B$55:$B$56</definedName>
    <definedName name="Fertiliser_native">Rates!$B$56</definedName>
    <definedName name="Fertiliser_native_app_rate">Assumptions!$E$100</definedName>
    <definedName name="Fertiliser_native_rate">Rates!$D$56</definedName>
    <definedName name="Fertiliser_pasture">Rates!$B$55</definedName>
    <definedName name="Fertiliser_pasture_app_rate">Assumptions!$E$99</definedName>
    <definedName name="Fertiliser_pasture_rate">Rates!$D$55</definedName>
    <definedName name="Fertiliser_rates">Rates!$D$55:$D$56</definedName>
    <definedName name="Foreperson">Rates!$B$86</definedName>
    <definedName name="Foreperson_rate">Rates!$D$86</definedName>
    <definedName name="Foundation_bolts_per_m2">Turbines!$E$46</definedName>
    <definedName name="Foundation_demolition_large_rate">'Cost Schedule'!$C$453</definedName>
    <definedName name="Foundation_demolition_small_rate">'Cost Schedule'!$C$452</definedName>
    <definedName name="Fuel_tanker">Rates!$B$101</definedName>
    <definedName name="Fuel_tanker_rate">Rates!$D$101</definedName>
    <definedName name="Gas_Axe">Rates!$B$81</definedName>
    <definedName name="Gas_Axe_rate">Rates!$D$81</definedName>
    <definedName name="Grader_12M">Rates!$B$52</definedName>
    <definedName name="Grader_12M_rate">Rates!$D$52</definedName>
    <definedName name="Grader_14M">Rates!$B$53</definedName>
    <definedName name="Grader_14M_rate">Rates!$D$53</definedName>
    <definedName name="Gravel_rock_track_road_cover_thickness">Assumptions!$E$160</definedName>
    <definedName name="Gravel_surface_cover">Assumptions!$E$150</definedName>
    <definedName name="GREEN_HYDROGEN">'Green Hydrogen'!$B$8</definedName>
    <definedName name="Growth_media_thickness">Assumptions!$E$92</definedName>
    <definedName name="Gypsum">Rates!$B$65</definedName>
    <definedName name="Gypsum_rate">Rates!$D$65</definedName>
    <definedName name="Handcast">Lists!$B$102</definedName>
    <definedName name="Handcast_Native_seed_rate_UR">'Cost Schedule'!$C$403</definedName>
    <definedName name="Handcast_Pasture_seed_rate_UR">'Cost Schedule'!$C$401</definedName>
    <definedName name="HDPE_Welder">Rates!$B$89</definedName>
    <definedName name="HDPE_Welder_rate">Rates!$D$89</definedName>
    <definedName name="Health_and_Safety_Lead">Rates!$B$24</definedName>
    <definedName name="Health_and_Safety_Lead_rate">Rates!$D$24</definedName>
    <definedName name="Hours_per_day">Assumptions!$E$170</definedName>
    <definedName name="Hydro_rig">Rates!$B$104</definedName>
    <definedName name="Hydro_rig_rate">Rates!$D$104</definedName>
    <definedName name="Hydromulching_BFM_productivity">Productivity!$C$84</definedName>
    <definedName name="Hydromulching_BGM_productivity">Productivity!$C$86</definedName>
    <definedName name="Hydromulching_FRM_productivity">Productivity!$C$85</definedName>
    <definedName name="Hydroseeding_productivity">Productivity!$C$83</definedName>
    <definedName name="Inflation">Rates!$AJ$4+Rates!$P$5</definedName>
    <definedName name="Information">Information!$B$3</definedName>
    <definedName name="Junior_Engineer_Geologist_Scientist">Rates!$B$16</definedName>
    <definedName name="Junior_Engineer_Geologist_Scientist_rate">Rates!$D$16</definedName>
    <definedName name="kilograms_in_tonnes">Assumptions!$E$18</definedName>
    <definedName name="Kilolitres_in_megalitres">Assumptions!$E$22</definedName>
    <definedName name="Labour_General">Rates!$B$87</definedName>
    <definedName name="Labour_General_rate">Rates!$D$87</definedName>
    <definedName name="Large_turbine">Lists!$B$185</definedName>
    <definedName name="Lime">Rates!$B$66</definedName>
    <definedName name="Lime_rate">Rates!$D$66</definedName>
    <definedName name="Liquid_waste_disposal_distance">Assumptions!$E$165</definedName>
    <definedName name="Litres_in_kilolitres">Assumptions!$E$21</definedName>
    <definedName name="Load_haul_dump_concrete_onsite_names_UR">'Cost Schedule'!$B$246:$B$256</definedName>
    <definedName name="Load_haul_dump_concrete_onsite_rates_UR">'Cost Schedule'!$C$246:$C$256</definedName>
    <definedName name="Load_haul_dump_growth_media_distance_avg">'Cost Schedule'!$G$259:$G$277</definedName>
    <definedName name="Load_haul_dump_growth_media_onsite_names_UR">'Cost Schedule'!$B$233:$B$243</definedName>
    <definedName name="Load_haul_dump_growth_media_onsite_rates_UR">'Cost Schedule'!$C$233:$C$243</definedName>
    <definedName name="Load_haul_dump_modules_distance_avg">'Cost Schedule'!$G$343:$G$361</definedName>
    <definedName name="Load_haul_dump_oil_distance_avg">'Cost Schedule'!$G$322:$G$340</definedName>
    <definedName name="Load_haul_dump_rubble_distance_avg">'Cost Schedule'!$G$280:$G$298</definedName>
    <definedName name="Load_haul_dump_soil_ameliorants_from_off_site_names_UR">'Cost Schedule'!$B$259:$B$277</definedName>
    <definedName name="Load_haul_dump_soil_ameliorants_from_off_site_rates_UR">'Cost Schedule'!$C$259:$C$277</definedName>
    <definedName name="Load_haul_dump_steel_distance_avg">'Cost Schedule'!$G$301:$G$319</definedName>
    <definedName name="Load_haul_names_L">Lists!$B$38:$B$48</definedName>
    <definedName name="Loader_980M">Rates!$B$71</definedName>
    <definedName name="Loader_980M_rate">Rates!$D$71</definedName>
    <definedName name="Long_haul_distance_average_L">Lists!$C$51:$C$69</definedName>
    <definedName name="Long_haul_distance_names_L">Lists!$B$51:$B$69</definedName>
    <definedName name="Long_haul_names_concrete_UR">'Cost Schedule'!$B$280:$B$298</definedName>
    <definedName name="Long_haul_names_modules_UR">'Cost Schedule'!$B$343:$B$361</definedName>
    <definedName name="Long_haul_names_oil_UR">'Cost Schedule'!$B$322:$B$340</definedName>
    <definedName name="Long_haul_names_steel_UR">'Cost Schedule'!$B$301:$B$319</definedName>
    <definedName name="Long_haul_rates_ameliorants_UR">'Cost Schedule'!$C$259:$C$277</definedName>
    <definedName name="Long_haul_rates_concrete_UR">'Cost Schedule'!$C$280:$C$298</definedName>
    <definedName name="Long_haul_rates_modules_UR">'Cost Schedule'!$C$343:$C$361</definedName>
    <definedName name="Long_haul_rates_oil_UR">'Cost Schedule'!$C$322:$C$340</definedName>
    <definedName name="Long_haul_rates_steel_UR">'Cost Schedule'!$C$301:$C$319</definedName>
    <definedName name="Materials_list">Lists!$B$72:$B$76</definedName>
    <definedName name="Mechanical_Fitter">Rates!$B$88</definedName>
    <definedName name="Mechanical_Fitter_rate">Rates!$D$88</definedName>
    <definedName name="Metres_in_kilometres">Assumptions!$E$19</definedName>
    <definedName name="Metres_min_in_kilometres_hour">Assumptions!$E$24</definedName>
    <definedName name="Millimetres_in_metres">Assumptions!$E$23</definedName>
    <definedName name="Minutes_in_hour">Assumptions!$E$17</definedName>
    <definedName name="Mobe_names_BESS_CS">'Cost Schedule'!$B$376:$B$379</definedName>
    <definedName name="Mobe_names_electrical_CS">'Cost Schedule'!$B$380:$B$383</definedName>
    <definedName name="Mobe_names_land_CS">'Cost Schedule'!$B$384:$B$387</definedName>
    <definedName name="Mobe_names_solar_CS">'Cost Schedule'!$B$368:$B$371</definedName>
    <definedName name="Mobe_names_wind_CS">'Cost Schedule'!$B$372:$B$375</definedName>
    <definedName name="Mobe_rates_BESS_CS">'Cost Schedule'!$C$376:$C$379</definedName>
    <definedName name="Mobe_rates_electrical_CS">'Cost Schedule'!$C$380:$C$383</definedName>
    <definedName name="Mobe_rates_land_CS">'Cost Schedule'!$C$384:$C$387</definedName>
    <definedName name="Mobe_rates_solar_CS">'Cost Schedule'!$C$368:$C$371</definedName>
    <definedName name="Mobe_rates_wind_CS">'Cost Schedule'!$C$372:$C$375</definedName>
    <definedName name="Nacelles_haul_unload_distance_avg">'Cost Schedule'!$G$159:$G$177</definedName>
    <definedName name="Nacelles_haul_unload_names_UR">'Cost Schedule'!$B$159:$B$177</definedName>
    <definedName name="Nacelles_haul_unload_rates_UR">'Cost Schedule'!$C$159:$C$177</definedName>
    <definedName name="Nacelles_per_truck">Productivity!$C$98</definedName>
    <definedName name="Native">Lists!$B$35</definedName>
    <definedName name="Native_seed">Rates!$B$60</definedName>
    <definedName name="Native_seed_rate">Rates!$D$60</definedName>
    <definedName name="Number_of_steel_bolts_per_m2_foundation_coefficient_1">Turbines!$E$46</definedName>
    <definedName name="Number_of_steel_bolts_per_m2_foundation_coefficient_2">Turbines!$E$47</definedName>
    <definedName name="Oil_recycle">Rates!$B$79</definedName>
    <definedName name="Oil_recycle_rate">Rates!$D$79</definedName>
    <definedName name="Ongoing_monitoring_percentage">Assumptions!$E$131</definedName>
    <definedName name="Panels">Panels!$B$4</definedName>
    <definedName name="Panels_haul_unload_distance_avg">'Cost Schedule'!$G$117:$G$135</definedName>
    <definedName name="Panels_haul_unload_names_UR">'Cost Schedule'!$B$117:$B$135</definedName>
    <definedName name="Panels_haul_unload_rates_UR">'Cost Schedule'!$C$117:$C$135</definedName>
    <definedName name="Panels_headers">Panels!$C$5:$H$5</definedName>
    <definedName name="Panels_models">Panels!$B$7:$B$11</definedName>
    <definedName name="Panels_units">Panels!$C$6:$H$6</definedName>
    <definedName name="Panels_values">Panels!$C$7:$H$11</definedName>
    <definedName name="Panhandler">Rates!$B$70</definedName>
    <definedName name="Panhandler_rate">Rates!$D$70</definedName>
    <definedName name="Pasture">Lists!$B$34</definedName>
    <definedName name="Pasture_seed">Rates!$B$61</definedName>
    <definedName name="Pasture_seed_rate">Rates!$D$61</definedName>
    <definedName name="Plant">Lists!$B$104</definedName>
    <definedName name="Plant_and_seed_app_rate">Assumptions!$E$103:$E$106</definedName>
    <definedName name="Plant_and_seed_names_Ass">Assumptions!$B$103:$B$106</definedName>
    <definedName name="Plant_and_seed_names_R">Rates!$B$60:$B$63</definedName>
    <definedName name="Principal_Engineer_Geologist_Scientist">Rates!$B$18</definedName>
    <definedName name="Principal_Engineer_Geologist_Scientist_rate">Rates!$D$18</definedName>
    <definedName name="Productivity">Productivity!$B$4</definedName>
    <definedName name="Project_management_percentage">Assumptions!$E$130</definedName>
    <definedName name="Project_Manager">Rates!$B$20</definedName>
    <definedName name="Project_Manager_rate">Rates!$D$20</definedName>
    <definedName name="Project_Name">Information!$D$7</definedName>
    <definedName name="Pump_4_inch_dewater_with_hoses">Rates!$B$100</definedName>
    <definedName name="Pump_4_inch_dewater_with_hoses_rate">Rates!$D$100</definedName>
    <definedName name="Pump_Truck_Tanker">Rates!$B$99</definedName>
    <definedName name="Pump_Truck_Tanker_rate">Rates!$D$99</definedName>
    <definedName name="Rate_unit">Rates!$E:$E</definedName>
    <definedName name="Rates">Rates!$B$4</definedName>
    <definedName name="Rates_name">Rates!$B:$B</definedName>
    <definedName name="Reporting_documentation_names_UR">'Cost Schedule'!$B$393:$B$397</definedName>
    <definedName name="Reporting_documentation_rates_UR">'Cost Schedule'!$C$393:$C$397</definedName>
    <definedName name="Revegetation_names_UR">'Cost Schedule'!$B$400:$B$405</definedName>
    <definedName name="Revegetation_rates_UR">'Cost Schedule'!$C$400:$C$405</definedName>
    <definedName name="Rigger">Rates!$B$84</definedName>
    <definedName name="Rigger_rate">Rates!$D$84</definedName>
    <definedName name="Roads_tracks_laydown_list_UR">'Cost Schedule'!$B$414:$B$419</definedName>
    <definedName name="Scrap_aluminium_and_alloy">Rates!$B$73</definedName>
    <definedName name="Scrap_aluminium_and_alloy_rate">Rates!$D$73</definedName>
    <definedName name="Scrap_copper_and_alloy">Rates!$B$74</definedName>
    <definedName name="Scrap_copper_and_alloy_rate">Rates!$D$74</definedName>
    <definedName name="Scrap_glass">Rates!$B$75</definedName>
    <definedName name="Scrap_glass_rate">Rates!$D$75</definedName>
    <definedName name="Scrap_silver">Rates!$B$76</definedName>
    <definedName name="Scrap_silver_rate">Rates!$D$76</definedName>
    <definedName name="Scrap_stainless_steel">Rates!$B$77</definedName>
    <definedName name="Scrap_stainless_steel_rate">Rates!$D$77</definedName>
    <definedName name="Scrap_steel">Rates!$B$78</definedName>
    <definedName name="Scrap_steel_rate">Rates!$D$78</definedName>
    <definedName name="Scrapyard_distance">Assumptions!$E$166</definedName>
    <definedName name="Seed_and_plant_rates">Rates!$D$60:$D$63</definedName>
    <definedName name="Semi_tipper_max_mass">Productivity!$C$94</definedName>
    <definedName name="Semi_tipper_max_volume">Productivity!$C$93</definedName>
    <definedName name="Semi_tipper_maximum_volume___concrete">Productivity!$C$95</definedName>
    <definedName name="Senior_Principal_Engineer_Geologist_Scientist">Rates!$B$19</definedName>
    <definedName name="Senior_Principal_Engineer_Geologist_Scientist_rate">Rates!$D$19</definedName>
    <definedName name="Single_skin_tank">Lists!$B$131</definedName>
    <definedName name="Sludge_density">Assumptions!$E$135</definedName>
    <definedName name="Small_turbine">Lists!$B$184</definedName>
    <definedName name="Soil_density">Assumptions!$E$136</definedName>
    <definedName name="SOLAR">Solar!$B$8</definedName>
    <definedName name="Solar_panels_per_truck">Productivity!$C$96</definedName>
    <definedName name="Specific_mass_50mm_steel_pipe">Assumptions!$E$127</definedName>
    <definedName name="Specific_mass_of_structural_steel_columns">Assumptions!$E$125</definedName>
    <definedName name="Specific_mass_of_structural_steel_cross_beams">Assumptions!$E$126</definedName>
    <definedName name="Spray">Lists!$B$105</definedName>
    <definedName name="Spread_ameliorants_rate">'Cost Schedule'!$C$17</definedName>
    <definedName name="Square_metres_in_hectare">Assumptions!$E$20</definedName>
    <definedName name="Steel_cable_cut_rate_excavator">Productivity!$C$57</definedName>
    <definedName name="Steel_density">Assumptions!$E$123</definedName>
    <definedName name="Steel_disposal_distance">Assumptions!$E$167</definedName>
    <definedName name="Steel_floor">Lists!$B$121</definedName>
    <definedName name="Steel_roof">Lists!$B$159</definedName>
    <definedName name="Steel_roof_specific_mass">Assumptions!$E$124</definedName>
    <definedName name="Steel_wall">Lists!$B$152</definedName>
    <definedName name="Storage_general_distance">Assumptions!$E$142</definedName>
    <definedName name="Substation_rates_UR">'Cost Schedule'!$C$436:$C$438</definedName>
    <definedName name="Substation_sizes_UR">'Cost Schedule'!$B$436:$B$438</definedName>
    <definedName name="SUMMARY">Summary!$B$5</definedName>
    <definedName name="Summary_BESS">Summary!$B$115</definedName>
    <definedName name="Summary_green_H2">Summary!$B$166</definedName>
    <definedName name="Summary_Solar">Summary!$B$8</definedName>
    <definedName name="Summary_wind">Summary!$B$61</definedName>
    <definedName name="Surface_cover_list">Lists!$B$114:$B$116</definedName>
    <definedName name="Tank_base_type">Lists!$B$119:$B$124</definedName>
    <definedName name="Tank_cladding_type">Lists!$B$127:$B$128</definedName>
    <definedName name="Tank_concrete_ring_L">Lists!$B$142</definedName>
    <definedName name="Tank_hopper_L">Lists!$B$144</definedName>
    <definedName name="Tank_hor_frac_L">Lists!$B$141</definedName>
    <definedName name="Tank_horizontal_L">Lists!$B$140</definedName>
    <definedName name="Tank_liner_type">Lists!$B$135:$B$136</definedName>
    <definedName name="Tank_panel_L">Lists!$B$143</definedName>
    <definedName name="Tank_rail_loading_bin_L">Lists!$B$147</definedName>
    <definedName name="Tank_rainwater_L">Lists!$B$145</definedName>
    <definedName name="Tank_silo_L">Lists!$B$146</definedName>
    <definedName name="Tank_skin_type">Lists!$B$131:$B$132</definedName>
    <definedName name="Tank_thickening_L">Lists!$B$148</definedName>
    <definedName name="Tank_top_type">Lists!$B$157:$B$160</definedName>
    <definedName name="Tank_type">Lists!$B$139:$B$149</definedName>
    <definedName name="Tank_vertical_L">Lists!$B$139</definedName>
    <definedName name="Tank_wall_type">Lists!$B$152:$B$154</definedName>
    <definedName name="Tanker_capacity">Assumptions!$E$114</definedName>
    <definedName name="Tanker_liquids_pump_flowrate_oil">Assumptions!$E$116</definedName>
    <definedName name="Tanker_liquids_pump_flowrate_water">Assumptions!$E$117</definedName>
    <definedName name="Top_soil">Rates!$B$58</definedName>
    <definedName name="Top_soil_rate">Rates!$D$58</definedName>
    <definedName name="Towers_per_truck">Productivity!$C$99</definedName>
    <definedName name="Tracks_roads_width_names_Ass">Assumptions!$B$153:$B$158</definedName>
    <definedName name="Tracks_roads_widths_Ass">Assumptions!$E$153:$E$158</definedName>
    <definedName name="Trees_mature">Rates!$B$63</definedName>
    <definedName name="Trees_mature_rate">Rates!$D$63</definedName>
    <definedName name="Truck_740C">Rates!$B$96</definedName>
    <definedName name="Truck_740C_rate">Rates!$D$96</definedName>
    <definedName name="Truck_flatbed">Rates!$B$93</definedName>
    <definedName name="Truck_flatbed_rate">Rates!$D$93</definedName>
    <definedName name="Truck_Haul_Speed_Loaded">Productivity!$C$89</definedName>
    <definedName name="Truck_Haul_Speed_Unloaded">Productivity!$C$90</definedName>
    <definedName name="Truck_module_transport">Rates!$B$102</definedName>
    <definedName name="Truck_module_transport_rate">Rates!$D$102</definedName>
    <definedName name="Truck_semi_tipper">Rates!$B$94</definedName>
    <definedName name="Truck_semi_tipper_rate">Rates!$D$94</definedName>
    <definedName name="Truck_travel_speed_on_site_loaded">Productivity!$C$91</definedName>
    <definedName name="Truck_travel_speed_on_site_unloaded">Productivity!$C$92</definedName>
    <definedName name="Truck_vacuum_tanker">Rates!$B$97</definedName>
    <definedName name="Truck_vacuum_tanker_rate">Rates!$D$97</definedName>
    <definedName name="Truck_water_load">Assumptions!$E$115</definedName>
    <definedName name="Truck_water_tanker_19kL">Rates!$B$98</definedName>
    <definedName name="Truck_water_tanker_19kL_rate">Rates!$D$98</definedName>
    <definedName name="Truck_with_crane">Rates!$B$95</definedName>
    <definedName name="Truck_with_crane_rate">Rates!$D$95</definedName>
    <definedName name="Tube_stock">Rates!$B$62</definedName>
    <definedName name="Tube_stock_rate">Rates!$D$62</definedName>
    <definedName name="Turbine_aluminium">Turbines!$D$10:$BM$10</definedName>
    <definedName name="Turbine_blade_length">Turbines!$D$18:$BM$18</definedName>
    <definedName name="Turbine_blade_mass">Turbines!$D$19:$BM$19</definedName>
    <definedName name="Turbine_bolts">Turbines!$D$33:$BM$33</definedName>
    <definedName name="Turbine_copper">Turbines!$D$9:$BM$9</definedName>
    <definedName name="Turbine_foundation_area">Turbines!$D$29:$BM$29</definedName>
    <definedName name="Turbine_foundation_mass">Turbines!$D$32:$BM$32</definedName>
    <definedName name="Turbine_foundation_thickness">Turbines!$D$30:$BM$30</definedName>
    <definedName name="Turbine_foundation_volume">Turbines!$D$31:$BM$31</definedName>
    <definedName name="Turbine_gearbox_oil_volume">Turbines!$D$26:$BM$26</definedName>
    <definedName name="Turbine_mass">Turbines!$D$6:$BM$6</definedName>
    <definedName name="Turbine_models">Turbines!$D$4:$BM$4</definedName>
    <definedName name="Turbine_nacelle_mass">Turbines!$D$24:$BM$24</definedName>
    <definedName name="Turbine_steel_iron">Turbines!$D$8:$BM$8</definedName>
    <definedName name="Turbine_tower_height">Turbines!$D$21:$BM$21</definedName>
    <definedName name="Turbine_tower_mass">Turbines!$D$22:$BM$22</definedName>
    <definedName name="Turbines">Turbines!$B$4</definedName>
    <definedName name="USER_GUIDE">'User Guide'!$C$10</definedName>
    <definedName name="Vehicle_Hire">Rates!$B$106</definedName>
    <definedName name="Vehicle_Hire_rate">Rates!$D$106</definedName>
    <definedName name="Waste_levy_Metropolitan_Solid_Waste">Rates!$B$116</definedName>
    <definedName name="Waste_levy_Metropolitan_Solid_Waste_rate">Rates!$D$116</definedName>
    <definedName name="Waste_levy_names">Rates!$B$116:$B$117</definedName>
    <definedName name="Waste_levy_Non_Metropolitan_Solid_Waste">Rates!$B$117</definedName>
    <definedName name="Waste_levy_Non_Metropolitan_Solid_Waste_rate">Rates!$D$117</definedName>
    <definedName name="Waste_levy_rates">Rates!$D$116:$D$117</definedName>
    <definedName name="Water">Rates!$B$68</definedName>
    <definedName name="Water_demand_greenH2">Assumptions!$E$88</definedName>
    <definedName name="Water_rate">Rates!$D$68</definedName>
    <definedName name="Winch_for_cables">Rates!$B$107</definedName>
    <definedName name="Winch_for_cables_rate">Rates!$D$107</definedName>
    <definedName name="WIND">Wind!$B$8</definedName>
    <definedName name="wind_trubine_truck_rate">Rates!$D$103</definedName>
    <definedName name="Wind_turbine_tools">Rates!$B$82</definedName>
    <definedName name="Wind_turbine_tools_rate">Rates!$D$82</definedName>
    <definedName name="Work_Platform">Rates!$B$31</definedName>
    <definedName name="Work_Platform_rate">Rates!$D$31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6" i="20" l="1"/>
  <c r="G275" i="20"/>
  <c r="G274" i="20"/>
  <c r="G314" i="24"/>
  <c r="G313" i="24"/>
  <c r="G312" i="24"/>
  <c r="J174" i="3"/>
  <c r="J172" i="3"/>
  <c r="J173" i="3"/>
  <c r="J157" i="3"/>
  <c r="E181" i="8" l="1"/>
  <c r="E81" i="8"/>
  <c r="E72" i="8"/>
  <c r="E65" i="8"/>
  <c r="E64" i="8"/>
  <c r="G54" i="20"/>
  <c r="C38" i="20"/>
  <c r="G237" i="20"/>
  <c r="G236" i="20"/>
  <c r="G235" i="20"/>
  <c r="G275" i="24"/>
  <c r="G274" i="24"/>
  <c r="G273" i="24"/>
  <c r="E32" i="8"/>
  <c r="G218" i="20"/>
  <c r="E218" i="20"/>
  <c r="G208" i="20"/>
  <c r="E208" i="20"/>
  <c r="G256" i="24"/>
  <c r="E256" i="24"/>
  <c r="G246" i="24"/>
  <c r="E246" i="24"/>
  <c r="G228" i="20"/>
  <c r="G266" i="24"/>
  <c r="G285" i="13"/>
  <c r="G275" i="13"/>
  <c r="E275" i="13"/>
  <c r="E265" i="13"/>
  <c r="G265" i="13"/>
  <c r="G245" i="3"/>
  <c r="E245" i="3"/>
  <c r="G235" i="3"/>
  <c r="E235" i="3"/>
  <c r="G206" i="3"/>
  <c r="E206" i="3"/>
  <c r="G196" i="3"/>
  <c r="E196" i="3"/>
  <c r="J19" i="13"/>
  <c r="J20" i="13"/>
  <c r="J18" i="13"/>
  <c r="L85" i="4" l="1"/>
  <c r="M85" i="4"/>
  <c r="N85" i="4"/>
  <c r="L86" i="4"/>
  <c r="M86" i="4"/>
  <c r="N86" i="4"/>
  <c r="L87" i="4"/>
  <c r="M87" i="4"/>
  <c r="N87" i="4"/>
  <c r="L88" i="4"/>
  <c r="M88" i="4"/>
  <c r="N88" i="4"/>
  <c r="L89" i="4"/>
  <c r="M89" i="4"/>
  <c r="N89" i="4"/>
  <c r="L90" i="4"/>
  <c r="M90" i="4"/>
  <c r="N90" i="4"/>
  <c r="L91" i="4"/>
  <c r="M91" i="4"/>
  <c r="N91" i="4"/>
  <c r="L94" i="4"/>
  <c r="M94" i="4"/>
  <c r="N94" i="4"/>
  <c r="L95" i="4"/>
  <c r="M95" i="4"/>
  <c r="N95" i="4"/>
  <c r="L96" i="4"/>
  <c r="M96" i="4"/>
  <c r="N96" i="4"/>
  <c r="L97" i="4"/>
  <c r="M97" i="4"/>
  <c r="N97" i="4"/>
  <c r="L98" i="4"/>
  <c r="M98" i="4"/>
  <c r="N98" i="4"/>
  <c r="L99" i="4"/>
  <c r="M99" i="4"/>
  <c r="N99" i="4"/>
  <c r="L100" i="4"/>
  <c r="M100" i="4"/>
  <c r="N100" i="4"/>
  <c r="L101" i="4"/>
  <c r="M101" i="4"/>
  <c r="N101" i="4"/>
  <c r="L102" i="4"/>
  <c r="M102" i="4"/>
  <c r="N102" i="4"/>
  <c r="L103" i="4"/>
  <c r="M103" i="4"/>
  <c r="N103" i="4"/>
  <c r="L104" i="4"/>
  <c r="M104" i="4"/>
  <c r="N104" i="4"/>
  <c r="L107" i="4"/>
  <c r="M107" i="4"/>
  <c r="N107" i="4"/>
  <c r="L110" i="4"/>
  <c r="M110" i="4"/>
  <c r="N110" i="4"/>
  <c r="L111" i="4"/>
  <c r="M111" i="4"/>
  <c r="N111" i="4"/>
  <c r="L112" i="4"/>
  <c r="M112" i="4"/>
  <c r="N112" i="4"/>
  <c r="L113" i="4"/>
  <c r="M113" i="4"/>
  <c r="N113" i="4"/>
  <c r="L114" i="4"/>
  <c r="M114" i="4"/>
  <c r="N114" i="4"/>
  <c r="L115" i="4"/>
  <c r="M115" i="4"/>
  <c r="N115" i="4"/>
  <c r="L116" i="4"/>
  <c r="M116" i="4"/>
  <c r="N116" i="4"/>
  <c r="L117" i="4"/>
  <c r="M117" i="4"/>
  <c r="N117" i="4"/>
  <c r="L118" i="4"/>
  <c r="M118" i="4"/>
  <c r="N118" i="4"/>
  <c r="L119" i="4"/>
  <c r="M119" i="4"/>
  <c r="N119" i="4"/>
  <c r="L120" i="4"/>
  <c r="M120" i="4"/>
  <c r="N120" i="4"/>
  <c r="L121" i="4"/>
  <c r="M121" i="4"/>
  <c r="N121" i="4"/>
  <c r="L122" i="4"/>
  <c r="M122" i="4"/>
  <c r="N122" i="4"/>
  <c r="L123" i="4"/>
  <c r="M123" i="4"/>
  <c r="N123" i="4"/>
  <c r="L126" i="4"/>
  <c r="M126" i="4"/>
  <c r="N126" i="4"/>
  <c r="L127" i="4"/>
  <c r="M127" i="4"/>
  <c r="N127" i="4"/>
  <c r="N125" i="4"/>
  <c r="M125" i="4"/>
  <c r="L125" i="4"/>
  <c r="N109" i="4"/>
  <c r="M109" i="4"/>
  <c r="L109" i="4"/>
  <c r="N106" i="4"/>
  <c r="M106" i="4"/>
  <c r="L106" i="4"/>
  <c r="N93" i="4"/>
  <c r="M93" i="4"/>
  <c r="L93" i="4"/>
  <c r="N84" i="4"/>
  <c r="M84" i="4"/>
  <c r="L84" i="4"/>
  <c r="N82" i="4"/>
  <c r="M82" i="4"/>
  <c r="L82" i="4"/>
  <c r="N81" i="4"/>
  <c r="M81" i="4"/>
  <c r="L81" i="4"/>
  <c r="N79" i="4"/>
  <c r="M79" i="4"/>
  <c r="L79" i="4"/>
  <c r="N78" i="4"/>
  <c r="M78" i="4"/>
  <c r="L78" i="4"/>
  <c r="N77" i="4"/>
  <c r="M77" i="4"/>
  <c r="L77" i="4"/>
  <c r="N76" i="4"/>
  <c r="M76" i="4"/>
  <c r="L76" i="4"/>
  <c r="N74" i="4"/>
  <c r="M74" i="4"/>
  <c r="L74" i="4"/>
  <c r="N73" i="4"/>
  <c r="M73" i="4"/>
  <c r="L73" i="4"/>
  <c r="N71" i="4"/>
  <c r="M71" i="4"/>
  <c r="L71" i="4"/>
  <c r="N70" i="4"/>
  <c r="M70" i="4"/>
  <c r="L70" i="4"/>
  <c r="N68" i="4"/>
  <c r="M68" i="4"/>
  <c r="L68" i="4"/>
  <c r="N66" i="4"/>
  <c r="M66" i="4"/>
  <c r="L66" i="4"/>
  <c r="N65" i="4"/>
  <c r="M65" i="4"/>
  <c r="L65" i="4"/>
  <c r="N63" i="4"/>
  <c r="M63" i="4"/>
  <c r="L63" i="4"/>
  <c r="N62" i="4"/>
  <c r="M62" i="4"/>
  <c r="L62" i="4"/>
  <c r="N61" i="4"/>
  <c r="M61" i="4"/>
  <c r="L61" i="4"/>
  <c r="N60" i="4"/>
  <c r="M60" i="4"/>
  <c r="L60" i="4"/>
  <c r="N58" i="4"/>
  <c r="M58" i="4"/>
  <c r="L58" i="4"/>
  <c r="N56" i="4"/>
  <c r="M56" i="4"/>
  <c r="L56" i="4"/>
  <c r="N55" i="4"/>
  <c r="M55" i="4"/>
  <c r="L55" i="4"/>
  <c r="L53" i="4"/>
  <c r="M53" i="4"/>
  <c r="N53" i="4"/>
  <c r="N52" i="4"/>
  <c r="M52" i="4"/>
  <c r="L52" i="4"/>
  <c r="N50" i="4"/>
  <c r="M50" i="4"/>
  <c r="L50" i="4"/>
  <c r="L41" i="4"/>
  <c r="M41" i="4"/>
  <c r="N41" i="4"/>
  <c r="L42" i="4"/>
  <c r="M42" i="4"/>
  <c r="N42" i="4"/>
  <c r="L43" i="4"/>
  <c r="M43" i="4"/>
  <c r="N43" i="4"/>
  <c r="L44" i="4"/>
  <c r="M44" i="4"/>
  <c r="N44" i="4"/>
  <c r="L45" i="4"/>
  <c r="M45" i="4"/>
  <c r="N45" i="4"/>
  <c r="L46" i="4"/>
  <c r="M46" i="4"/>
  <c r="N46" i="4"/>
  <c r="L47" i="4"/>
  <c r="M47" i="4"/>
  <c r="N47" i="4"/>
  <c r="L48" i="4"/>
  <c r="M48" i="4"/>
  <c r="N48" i="4"/>
  <c r="L36" i="4"/>
  <c r="M36" i="4"/>
  <c r="N36" i="4"/>
  <c r="L37" i="4"/>
  <c r="M37" i="4"/>
  <c r="N37" i="4"/>
  <c r="L38" i="4"/>
  <c r="M38" i="4"/>
  <c r="N38" i="4"/>
  <c r="N40" i="4"/>
  <c r="M40" i="4"/>
  <c r="L40" i="4"/>
  <c r="N35" i="4"/>
  <c r="M35" i="4"/>
  <c r="L35" i="4"/>
  <c r="N33" i="4"/>
  <c r="M33" i="4"/>
  <c r="L33" i="4"/>
  <c r="L27" i="4"/>
  <c r="M27" i="4"/>
  <c r="N27" i="4"/>
  <c r="L28" i="4"/>
  <c r="M28" i="4"/>
  <c r="N28" i="4"/>
  <c r="L29" i="4"/>
  <c r="M29" i="4"/>
  <c r="N29" i="4"/>
  <c r="L30" i="4"/>
  <c r="M30" i="4"/>
  <c r="N30" i="4"/>
  <c r="L31" i="4"/>
  <c r="M31" i="4"/>
  <c r="N31" i="4"/>
  <c r="N26" i="4"/>
  <c r="M26" i="4"/>
  <c r="L26" i="4"/>
  <c r="L17" i="4"/>
  <c r="M17" i="4"/>
  <c r="N17" i="4"/>
  <c r="L18" i="4"/>
  <c r="M18" i="4"/>
  <c r="N18" i="4"/>
  <c r="L19" i="4"/>
  <c r="M19" i="4"/>
  <c r="N19" i="4"/>
  <c r="L20" i="4"/>
  <c r="M20" i="4"/>
  <c r="N20" i="4"/>
  <c r="L21" i="4"/>
  <c r="M21" i="4"/>
  <c r="N21" i="4"/>
  <c r="L22" i="4"/>
  <c r="M22" i="4"/>
  <c r="N22" i="4"/>
  <c r="L23" i="4"/>
  <c r="M23" i="4"/>
  <c r="N23" i="4"/>
  <c r="L24" i="4"/>
  <c r="M24" i="4"/>
  <c r="N24" i="4"/>
  <c r="N16" i="4"/>
  <c r="M16" i="4"/>
  <c r="L16" i="4"/>
  <c r="N14" i="4"/>
  <c r="M14" i="4"/>
  <c r="L14" i="4"/>
  <c r="N12" i="4"/>
  <c r="M12" i="4"/>
  <c r="L12" i="4"/>
  <c r="N10" i="4"/>
  <c r="M10" i="4"/>
  <c r="L10" i="4"/>
  <c r="N9" i="4"/>
  <c r="M9" i="4"/>
  <c r="L9" i="4"/>
  <c r="E12" i="8" l="1"/>
  <c r="E11" i="8"/>
  <c r="C307" i="13"/>
  <c r="C104" i="13" l="1"/>
  <c r="C61" i="24"/>
  <c r="C60" i="24"/>
  <c r="C63" i="24"/>
  <c r="G21" i="22" l="1"/>
  <c r="H21" i="22"/>
  <c r="I21" i="22"/>
  <c r="J21" i="22"/>
  <c r="K21" i="22"/>
  <c r="L21" i="22"/>
  <c r="M21" i="22"/>
  <c r="N21" i="22"/>
  <c r="C316" i="3"/>
  <c r="C317" i="3"/>
  <c r="C318" i="3"/>
  <c r="C319" i="3"/>
  <c r="C320" i="3"/>
  <c r="C321" i="3"/>
  <c r="C322" i="3"/>
  <c r="C323" i="3"/>
  <c r="B323" i="3"/>
  <c r="B316" i="3"/>
  <c r="B317" i="3"/>
  <c r="B318" i="3"/>
  <c r="B319" i="3"/>
  <c r="B320" i="3"/>
  <c r="B321" i="3"/>
  <c r="B322" i="3"/>
  <c r="B315" i="3"/>
  <c r="B345" i="13"/>
  <c r="B346" i="13"/>
  <c r="B347" i="13"/>
  <c r="B348" i="13"/>
  <c r="B344" i="13"/>
  <c r="B326" i="24"/>
  <c r="B327" i="24"/>
  <c r="B328" i="24"/>
  <c r="B329" i="24"/>
  <c r="B330" i="24"/>
  <c r="B331" i="24"/>
  <c r="B332" i="24"/>
  <c r="B333" i="24"/>
  <c r="C326" i="24"/>
  <c r="C327" i="24"/>
  <c r="C328" i="24"/>
  <c r="C329" i="24"/>
  <c r="C330" i="24"/>
  <c r="C331" i="24"/>
  <c r="C332" i="24"/>
  <c r="C333" i="24"/>
  <c r="C325" i="24"/>
  <c r="B325" i="24"/>
  <c r="C191" i="20" l="1"/>
  <c r="J196" i="20"/>
  <c r="C178" i="20"/>
  <c r="C180" i="20" s="1"/>
  <c r="C182" i="20" s="1"/>
  <c r="J234" i="24"/>
  <c r="C229" i="24"/>
  <c r="C218" i="3"/>
  <c r="J223" i="3"/>
  <c r="C344" i="13" l="1"/>
  <c r="H9" i="9"/>
  <c r="H10" i="9"/>
  <c r="H11" i="9"/>
  <c r="C141" i="20"/>
  <c r="C143" i="20" s="1"/>
  <c r="C161" i="20"/>
  <c r="C163" i="20" s="1"/>
  <c r="C169" i="20" s="1"/>
  <c r="C40" i="20"/>
  <c r="B307" i="13"/>
  <c r="J312" i="13"/>
  <c r="C112" i="13"/>
  <c r="C98" i="3"/>
  <c r="C69" i="3"/>
  <c r="C68" i="24"/>
  <c r="C214" i="24"/>
  <c r="C205" i="24"/>
  <c r="C197" i="24"/>
  <c r="C199" i="24" s="1"/>
  <c r="C201" i="24" s="1"/>
  <c r="C180" i="24"/>
  <c r="C182" i="24" s="1"/>
  <c r="C188" i="24" s="1"/>
  <c r="C160" i="24"/>
  <c r="C162" i="24" s="1"/>
  <c r="C171" i="24" s="1"/>
  <c r="C239" i="13"/>
  <c r="C241" i="13" s="1"/>
  <c r="C243" i="13" s="1"/>
  <c r="C222" i="13"/>
  <c r="C224" i="13" s="1"/>
  <c r="C230" i="13" s="1"/>
  <c r="C202" i="13"/>
  <c r="C204" i="13" s="1"/>
  <c r="C213" i="13" s="1"/>
  <c r="C185" i="3"/>
  <c r="C187" i="3" s="1"/>
  <c r="C203" i="3"/>
  <c r="C209" i="3" s="1"/>
  <c r="I209" i="3" s="1"/>
  <c r="C193" i="3"/>
  <c r="C68" i="20"/>
  <c r="D319" i="3" l="1"/>
  <c r="D329" i="24"/>
  <c r="D330" i="24"/>
  <c r="D320" i="3"/>
  <c r="B60" i="20"/>
  <c r="C152" i="20"/>
  <c r="C339" i="24"/>
  <c r="C228" i="13"/>
  <c r="E172" i="8"/>
  <c r="B172" i="8"/>
  <c r="H68" i="20"/>
  <c r="C172" i="8"/>
  <c r="B68" i="20"/>
  <c r="B64" i="20" l="1"/>
  <c r="B61" i="20"/>
  <c r="B65" i="20"/>
  <c r="B63" i="20"/>
  <c r="B66" i="20"/>
  <c r="B62" i="20"/>
  <c r="B12" i="11" l="1"/>
  <c r="B13" i="11"/>
  <c r="B14" i="11"/>
  <c r="B15" i="11"/>
  <c r="B16" i="11"/>
  <c r="B17" i="11"/>
  <c r="M75" i="4"/>
  <c r="C348" i="13"/>
  <c r="C347" i="13"/>
  <c r="C346" i="13"/>
  <c r="C345" i="13"/>
  <c r="C315" i="3"/>
  <c r="C148" i="3"/>
  <c r="C150" i="3" s="1"/>
  <c r="C168" i="3"/>
  <c r="C170" i="3" s="1"/>
  <c r="C329" i="3" l="1"/>
  <c r="J30" i="4"/>
  <c r="J31" i="4"/>
  <c r="K31" i="4" s="1"/>
  <c r="J27" i="4"/>
  <c r="K27" i="4" s="1"/>
  <c r="J29" i="4"/>
  <c r="K29" i="4" s="1"/>
  <c r="J28" i="4"/>
  <c r="K28" i="4" s="1"/>
  <c r="C174" i="3"/>
  <c r="C176" i="3"/>
  <c r="C159" i="3"/>
  <c r="K30" i="4"/>
  <c r="P104" i="4" l="1"/>
  <c r="J104" i="4" l="1"/>
  <c r="K104" i="4" s="1"/>
  <c r="P91" i="4"/>
  <c r="J101" i="4"/>
  <c r="K101" i="4" s="1"/>
  <c r="P101" i="4"/>
  <c r="B20" i="13" l="1"/>
  <c r="B21" i="20"/>
  <c r="B20" i="24"/>
  <c r="B20" i="20"/>
  <c r="B19" i="13"/>
  <c r="B19" i="3"/>
  <c r="J91" i="4"/>
  <c r="K91" i="4" s="1"/>
  <c r="B18" i="3" l="1"/>
  <c r="B19" i="24"/>
  <c r="B18" i="13"/>
  <c r="D348" i="13"/>
  <c r="D347" i="13"/>
  <c r="D346" i="13"/>
  <c r="N75" i="4"/>
  <c r="L75" i="4"/>
  <c r="P9" i="4"/>
  <c r="D325" i="24" l="1"/>
  <c r="D315" i="3"/>
  <c r="D326" i="24"/>
  <c r="D316" i="3"/>
  <c r="D318" i="3"/>
  <c r="D317" i="3"/>
  <c r="D328" i="24"/>
  <c r="D327" i="24"/>
  <c r="D332" i="24"/>
  <c r="D322" i="3"/>
  <c r="D345" i="13"/>
  <c r="D333" i="24"/>
  <c r="D323" i="3"/>
  <c r="C192" i="20"/>
  <c r="C195" i="20" s="1"/>
  <c r="C219" i="3"/>
  <c r="C222" i="3" s="1"/>
  <c r="C230" i="24"/>
  <c r="C233" i="24" s="1"/>
  <c r="C79" i="24"/>
  <c r="C80" i="24" s="1"/>
  <c r="C207" i="13"/>
  <c r="J9" i="4"/>
  <c r="K9" i="4" s="1"/>
  <c r="C238" i="24" l="1"/>
  <c r="I238" i="24" s="1"/>
  <c r="I239" i="24" s="1"/>
  <c r="C236" i="24"/>
  <c r="C235" i="24"/>
  <c r="C234" i="24"/>
  <c r="C227" i="3"/>
  <c r="C224" i="3"/>
  <c r="C225" i="3"/>
  <c r="C223" i="3"/>
  <c r="C200" i="20"/>
  <c r="C196" i="20"/>
  <c r="C198" i="20"/>
  <c r="D206" i="8"/>
  <c r="D205" i="8"/>
  <c r="D195" i="8"/>
  <c r="D194" i="8"/>
  <c r="H239" i="20"/>
  <c r="H249" i="20"/>
  <c r="H231" i="20"/>
  <c r="H221" i="20"/>
  <c r="H211" i="20"/>
  <c r="H182" i="20"/>
  <c r="H169" i="20"/>
  <c r="H152" i="20"/>
  <c r="H132" i="20"/>
  <c r="H122" i="20"/>
  <c r="H112" i="20"/>
  <c r="H105" i="20"/>
  <c r="H91" i="20"/>
  <c r="H56" i="20"/>
  <c r="H48" i="20"/>
  <c r="H40" i="20"/>
  <c r="H200" i="20"/>
  <c r="H23" i="20"/>
  <c r="H31" i="20"/>
  <c r="B37" i="20"/>
  <c r="B36" i="20"/>
  <c r="B35" i="20"/>
  <c r="E15" i="26"/>
  <c r="F15" i="26"/>
  <c r="G15" i="26"/>
  <c r="H15" i="26"/>
  <c r="I15" i="26"/>
  <c r="J15" i="26"/>
  <c r="K15" i="26"/>
  <c r="L15" i="26"/>
  <c r="M15" i="26"/>
  <c r="N15" i="26"/>
  <c r="D15" i="26"/>
  <c r="D27" i="20"/>
  <c r="G27" i="20"/>
  <c r="I27" i="20" s="1"/>
  <c r="B27" i="20"/>
  <c r="B28" i="20" l="1"/>
  <c r="G28" i="20"/>
  <c r="I28" i="20" s="1"/>
  <c r="K28" i="20" s="1"/>
  <c r="J29" i="20"/>
  <c r="G29" i="20"/>
  <c r="I29" i="20" s="1"/>
  <c r="K29" i="20" s="1"/>
  <c r="J28" i="20"/>
  <c r="D29" i="20"/>
  <c r="B29" i="20"/>
  <c r="D28" i="20"/>
  <c r="J27" i="20"/>
  <c r="K27" i="20"/>
  <c r="C31" i="20"/>
  <c r="I31" i="20" s="1"/>
  <c r="P100" i="4" l="1"/>
  <c r="P102" i="4"/>
  <c r="P103" i="4"/>
  <c r="J99" i="4"/>
  <c r="J100" i="4"/>
  <c r="K100" i="4" s="1"/>
  <c r="J102" i="4"/>
  <c r="K102" i="4" s="1"/>
  <c r="J103" i="4"/>
  <c r="K103" i="4" s="1"/>
  <c r="E201" i="8"/>
  <c r="B201" i="8"/>
  <c r="B188" i="8"/>
  <c r="B187" i="8"/>
  <c r="E171" i="8"/>
  <c r="B171" i="8"/>
  <c r="E170" i="8"/>
  <c r="B170" i="8"/>
  <c r="E169" i="8"/>
  <c r="B169" i="8"/>
  <c r="E168" i="8"/>
  <c r="B168" i="8"/>
  <c r="B56" i="20"/>
  <c r="B48" i="20"/>
  <c r="B40" i="20"/>
  <c r="B31" i="20"/>
  <c r="E153" i="8"/>
  <c r="E152" i="8"/>
  <c r="F115" i="8"/>
  <c r="B140" i="8"/>
  <c r="B139" i="8"/>
  <c r="E138" i="8"/>
  <c r="B138" i="8"/>
  <c r="E137" i="8"/>
  <c r="B137" i="8"/>
  <c r="E136" i="8"/>
  <c r="B136" i="8"/>
  <c r="E135" i="8"/>
  <c r="B135" i="8"/>
  <c r="E134" i="8"/>
  <c r="B134" i="8"/>
  <c r="E133" i="8"/>
  <c r="B133" i="8"/>
  <c r="E132" i="8"/>
  <c r="B132" i="8"/>
  <c r="E131" i="8"/>
  <c r="B131" i="8"/>
  <c r="E130" i="8"/>
  <c r="B130" i="8"/>
  <c r="E129" i="8"/>
  <c r="B129" i="8"/>
  <c r="E128" i="8"/>
  <c r="B128" i="8"/>
  <c r="E127" i="8"/>
  <c r="B127" i="8"/>
  <c r="E126" i="8"/>
  <c r="B126" i="8"/>
  <c r="E125" i="8"/>
  <c r="B125" i="8"/>
  <c r="E124" i="8"/>
  <c r="B124" i="8"/>
  <c r="E123" i="8"/>
  <c r="B123" i="8"/>
  <c r="E122" i="8"/>
  <c r="B122" i="8"/>
  <c r="E121" i="8"/>
  <c r="B121" i="8"/>
  <c r="E120" i="8"/>
  <c r="B120" i="8"/>
  <c r="E119" i="8"/>
  <c r="B119" i="8"/>
  <c r="E118" i="8"/>
  <c r="B118" i="8"/>
  <c r="E117" i="8"/>
  <c r="B117" i="8"/>
  <c r="E116" i="8"/>
  <c r="B116" i="8"/>
  <c r="D115" i="8"/>
  <c r="E115" i="8"/>
  <c r="C115" i="8"/>
  <c r="B115" i="8"/>
  <c r="B217" i="8" s="1"/>
  <c r="B166" i="8"/>
  <c r="K4" i="26"/>
  <c r="J4" i="26"/>
  <c r="I4" i="26"/>
  <c r="H4" i="26"/>
  <c r="G4" i="26"/>
  <c r="F4" i="26"/>
  <c r="E4" i="26"/>
  <c r="B2" i="26"/>
  <c r="I320" i="24"/>
  <c r="I319" i="24"/>
  <c r="I318" i="24"/>
  <c r="I317" i="24"/>
  <c r="I316" i="24"/>
  <c r="I315" i="24"/>
  <c r="B312" i="24" a="1"/>
  <c r="B312" i="24" s="1"/>
  <c r="B298" i="24"/>
  <c r="J296" i="24"/>
  <c r="I296" i="24"/>
  <c r="J295" i="24"/>
  <c r="I295" i="24"/>
  <c r="J294" i="24"/>
  <c r="I294" i="24"/>
  <c r="J293" i="24"/>
  <c r="I293" i="24"/>
  <c r="J292" i="24"/>
  <c r="I292" i="24"/>
  <c r="J291" i="24"/>
  <c r="I291" i="24"/>
  <c r="B287" i="24"/>
  <c r="I285" i="24"/>
  <c r="I284" i="24"/>
  <c r="I283" i="24"/>
  <c r="C277" i="24"/>
  <c r="C137" i="8" s="1"/>
  <c r="B277" i="24"/>
  <c r="B269" i="24"/>
  <c r="C269" i="24"/>
  <c r="B259" i="24"/>
  <c r="B249" i="24"/>
  <c r="C246" i="24"/>
  <c r="B238" i="24"/>
  <c r="J236" i="24"/>
  <c r="J235" i="24"/>
  <c r="B220" i="24"/>
  <c r="B210" i="24"/>
  <c r="B201" i="24"/>
  <c r="B188" i="24"/>
  <c r="B171" i="24"/>
  <c r="B151" i="24"/>
  <c r="B141" i="24"/>
  <c r="B131" i="24"/>
  <c r="B124" i="24"/>
  <c r="B110" i="24"/>
  <c r="B87" i="24"/>
  <c r="E84" i="24"/>
  <c r="B63" i="24"/>
  <c r="B73" i="24"/>
  <c r="B46" i="24"/>
  <c r="C46" i="24"/>
  <c r="C118" i="8" s="1"/>
  <c r="B40" i="24"/>
  <c r="B52" i="24"/>
  <c r="C158" i="8"/>
  <c r="C157" i="8"/>
  <c r="C148" i="8"/>
  <c r="B2" i="24"/>
  <c r="C205" i="8" l="1"/>
  <c r="F205" i="8" s="1"/>
  <c r="C194" i="8"/>
  <c r="F194" i="8" s="1"/>
  <c r="C195" i="8"/>
  <c r="F195" i="8" s="1"/>
  <c r="C206" i="8"/>
  <c r="F206" i="8" s="1"/>
  <c r="C197" i="8"/>
  <c r="F197" i="8" s="1"/>
  <c r="C208" i="8"/>
  <c r="F208" i="8" s="1"/>
  <c r="C56" i="20"/>
  <c r="C171" i="8" s="1"/>
  <c r="B224" i="8"/>
  <c r="B231" i="8"/>
  <c r="K99" i="4"/>
  <c r="K293" i="24"/>
  <c r="K295" i="24"/>
  <c r="C152" i="8"/>
  <c r="C153" i="8"/>
  <c r="C159" i="8"/>
  <c r="C146" i="8"/>
  <c r="C147" i="8"/>
  <c r="C70" i="24"/>
  <c r="C136" i="8"/>
  <c r="K296" i="24"/>
  <c r="C210" i="24"/>
  <c r="C131" i="8" s="1"/>
  <c r="K294" i="24"/>
  <c r="C22" i="24"/>
  <c r="C116" i="8" s="1"/>
  <c r="C247" i="24"/>
  <c r="K291" i="24"/>
  <c r="C124" i="24"/>
  <c r="C124" i="8" s="1"/>
  <c r="C249" i="24"/>
  <c r="I249" i="24" s="1"/>
  <c r="K284" i="24"/>
  <c r="K292" i="24"/>
  <c r="C287" i="24"/>
  <c r="C138" i="8" s="1"/>
  <c r="C141" i="24"/>
  <c r="C126" i="8" s="1"/>
  <c r="K285" i="24"/>
  <c r="C151" i="24"/>
  <c r="K283" i="24"/>
  <c r="C298" i="24"/>
  <c r="C139" i="8" s="1"/>
  <c r="C267" i="24"/>
  <c r="C52" i="24"/>
  <c r="C119" i="8" s="1"/>
  <c r="C130" i="8"/>
  <c r="C128" i="8"/>
  <c r="C131" i="24"/>
  <c r="C125" i="8" s="1"/>
  <c r="E205" i="24"/>
  <c r="E310" i="24"/>
  <c r="D311" i="24" s="1"/>
  <c r="E68" i="24"/>
  <c r="E214" i="24"/>
  <c r="C257" i="24"/>
  <c r="C259" i="24"/>
  <c r="C256" i="24"/>
  <c r="C120" i="8"/>
  <c r="C110" i="24"/>
  <c r="C123" i="8" s="1"/>
  <c r="C266" i="24"/>
  <c r="C73" i="24" l="1"/>
  <c r="C121" i="8" s="1"/>
  <c r="C71" i="24"/>
  <c r="C135" i="8"/>
  <c r="C134" i="8"/>
  <c r="I151" i="24"/>
  <c r="D127" i="8" s="1"/>
  <c r="C127" i="8"/>
  <c r="C220" i="24"/>
  <c r="C132" i="8" s="1"/>
  <c r="C40" i="24"/>
  <c r="C117" i="8" s="1"/>
  <c r="K298" i="24"/>
  <c r="C129" i="8"/>
  <c r="C186" i="24"/>
  <c r="C87" i="24"/>
  <c r="C314" i="24"/>
  <c r="C319" i="24"/>
  <c r="C316" i="24"/>
  <c r="C313" i="24"/>
  <c r="C318" i="24"/>
  <c r="C315" i="24"/>
  <c r="C312" i="24"/>
  <c r="D312" i="24" s="1"/>
  <c r="C320" i="24"/>
  <c r="C317" i="24"/>
  <c r="C133" i="8" l="1"/>
  <c r="C122" i="8"/>
  <c r="I87" i="24"/>
  <c r="C196" i="8"/>
  <c r="C207" i="8"/>
  <c r="F207" i="8" s="1"/>
  <c r="C169" i="8"/>
  <c r="C201" i="8"/>
  <c r="I298" i="24"/>
  <c r="D139" i="8" s="1"/>
  <c r="F139" i="8"/>
  <c r="C217" i="24"/>
  <c r="C218" i="24"/>
  <c r="D319" i="24"/>
  <c r="K319" i="24" s="1"/>
  <c r="D315" i="24"/>
  <c r="K315" i="24" s="1"/>
  <c r="D318" i="24"/>
  <c r="K318" i="24" s="1"/>
  <c r="D313" i="24"/>
  <c r="D316" i="24"/>
  <c r="K316" i="24" s="1"/>
  <c r="D314" i="24"/>
  <c r="D317" i="24"/>
  <c r="K317" i="24" s="1"/>
  <c r="D320" i="24"/>
  <c r="K320" i="24" s="1"/>
  <c r="C311" i="24"/>
  <c r="F61" i="8" l="1"/>
  <c r="B81" i="8"/>
  <c r="J253" i="13"/>
  <c r="D344" i="13" l="1"/>
  <c r="D331" i="24"/>
  <c r="D321" i="3"/>
  <c r="G13" i="26"/>
  <c r="I13" i="26"/>
  <c r="K13" i="26"/>
  <c r="E13" i="26"/>
  <c r="H13" i="26"/>
  <c r="J13" i="26"/>
  <c r="L13" i="26"/>
  <c r="M13" i="26"/>
  <c r="F13" i="26"/>
  <c r="N13" i="26"/>
  <c r="D13" i="26"/>
  <c r="C81" i="24"/>
  <c r="C163" i="24"/>
  <c r="C165" i="24" s="1"/>
  <c r="C354" i="13"/>
  <c r="G22" i="22"/>
  <c r="H22" i="22"/>
  <c r="I22" i="22"/>
  <c r="J22" i="22"/>
  <c r="K22" i="22"/>
  <c r="L22" i="22"/>
  <c r="M22" i="22"/>
  <c r="N22" i="22"/>
  <c r="D22" i="22"/>
  <c r="D33" i="14"/>
  <c r="D29" i="14"/>
  <c r="E33" i="14"/>
  <c r="F33" i="14"/>
  <c r="G33" i="14"/>
  <c r="H33" i="14"/>
  <c r="I33" i="14"/>
  <c r="J33" i="14"/>
  <c r="K33" i="14"/>
  <c r="P33" i="14"/>
  <c r="R33" i="14"/>
  <c r="V33" i="14"/>
  <c r="W33" i="14"/>
  <c r="X33" i="14"/>
  <c r="Y33" i="14"/>
  <c r="AB33" i="14"/>
  <c r="AF33" i="14"/>
  <c r="AJ33" i="14"/>
  <c r="AN33" i="14"/>
  <c r="AS33" i="14"/>
  <c r="AX33" i="14"/>
  <c r="AY33" i="14"/>
  <c r="BC33" i="14"/>
  <c r="BE33" i="14"/>
  <c r="BF33" i="14"/>
  <c r="BG33" i="14"/>
  <c r="BH33" i="14"/>
  <c r="BI33" i="14"/>
  <c r="BJ33" i="14"/>
  <c r="BK33" i="14"/>
  <c r="BL33" i="14"/>
  <c r="E29" i="14"/>
  <c r="E31" i="14" s="1"/>
  <c r="E32" i="14" s="1"/>
  <c r="F29" i="14"/>
  <c r="F31" i="14" s="1"/>
  <c r="F32" i="14" s="1"/>
  <c r="G29" i="14"/>
  <c r="G31" i="14" s="1"/>
  <c r="G32" i="14" s="1"/>
  <c r="H29" i="14"/>
  <c r="H31" i="14" s="1"/>
  <c r="H32" i="14" s="1"/>
  <c r="I29" i="14"/>
  <c r="I31" i="14" s="1"/>
  <c r="I32" i="14" s="1"/>
  <c r="J29" i="14"/>
  <c r="J31" i="14" s="1"/>
  <c r="J32" i="14" s="1"/>
  <c r="K29" i="14"/>
  <c r="K31" i="14" s="1"/>
  <c r="K32" i="14" s="1"/>
  <c r="L29" i="14"/>
  <c r="L31" i="14" s="1"/>
  <c r="L32" i="14" s="1"/>
  <c r="M29" i="14"/>
  <c r="M31" i="14" s="1"/>
  <c r="M32" i="14" s="1"/>
  <c r="N29" i="14"/>
  <c r="N31" i="14" s="1"/>
  <c r="N32" i="14" s="1"/>
  <c r="O29" i="14"/>
  <c r="O31" i="14" s="1"/>
  <c r="O32" i="14" s="1"/>
  <c r="P29" i="14"/>
  <c r="R29" i="14"/>
  <c r="R31" i="14" s="1"/>
  <c r="R32" i="14" s="1"/>
  <c r="S29" i="14"/>
  <c r="S31" i="14" s="1"/>
  <c r="S32" i="14" s="1"/>
  <c r="T29" i="14"/>
  <c r="T31" i="14" s="1"/>
  <c r="T32" i="14" s="1"/>
  <c r="U29" i="14"/>
  <c r="U31" i="14" s="1"/>
  <c r="U32" i="14" s="1"/>
  <c r="V29" i="14"/>
  <c r="V31" i="14" s="1"/>
  <c r="V32" i="14" s="1"/>
  <c r="AB29" i="14"/>
  <c r="AB31" i="14" s="1"/>
  <c r="AB32" i="14" s="1"/>
  <c r="AJ29" i="14"/>
  <c r="AN29" i="14"/>
  <c r="AN31" i="14" s="1"/>
  <c r="AN32" i="14" s="1"/>
  <c r="AS29" i="14"/>
  <c r="AS31" i="14" s="1"/>
  <c r="AS32" i="14" s="1"/>
  <c r="AT29" i="14"/>
  <c r="AT31" i="14" s="1"/>
  <c r="AT32" i="14" s="1"/>
  <c r="AU29" i="14"/>
  <c r="AU31" i="14" s="1"/>
  <c r="AU32" i="14" s="1"/>
  <c r="AV29" i="14"/>
  <c r="AV31" i="14" s="1"/>
  <c r="AV32" i="14" s="1"/>
  <c r="AW29" i="14"/>
  <c r="AW31" i="14" s="1"/>
  <c r="AW32" i="14" s="1"/>
  <c r="AX29" i="14"/>
  <c r="AY29" i="14"/>
  <c r="AY31" i="14" s="1"/>
  <c r="AY32" i="14" s="1"/>
  <c r="BE29" i="14"/>
  <c r="BE31" i="14" s="1"/>
  <c r="BE32" i="14" s="1"/>
  <c r="BF29" i="14"/>
  <c r="BF31" i="14" s="1"/>
  <c r="BF32" i="14" s="1"/>
  <c r="BG29" i="14"/>
  <c r="BG31" i="14" s="1"/>
  <c r="BG32" i="14" s="1"/>
  <c r="BH29" i="14"/>
  <c r="BH31" i="14" s="1"/>
  <c r="BH32" i="14" s="1"/>
  <c r="BI29" i="14"/>
  <c r="BI31" i="14" s="1"/>
  <c r="BI32" i="14" s="1"/>
  <c r="BJ29" i="14"/>
  <c r="BJ31" i="14" s="1"/>
  <c r="BJ32" i="14" s="1"/>
  <c r="BK29" i="14"/>
  <c r="BK31" i="14" s="1"/>
  <c r="BK32" i="14" s="1"/>
  <c r="BL29" i="14"/>
  <c r="BL31" i="14" s="1"/>
  <c r="BL32" i="14" s="1"/>
  <c r="BM29" i="14"/>
  <c r="BM31" i="14" s="1"/>
  <c r="AT13" i="14"/>
  <c r="AU13" i="14"/>
  <c r="AV13" i="14"/>
  <c r="AW13" i="14"/>
  <c r="AX13" i="14"/>
  <c r="AY13" i="14"/>
  <c r="AZ13" i="14"/>
  <c r="BA13" i="14"/>
  <c r="BB13" i="14"/>
  <c r="BC13" i="14"/>
  <c r="BD13" i="14"/>
  <c r="BE13" i="14"/>
  <c r="AT14" i="14"/>
  <c r="AU14" i="14"/>
  <c r="AV14" i="14"/>
  <c r="AW14" i="14"/>
  <c r="AX14" i="14"/>
  <c r="AY14" i="14"/>
  <c r="AZ14" i="14"/>
  <c r="BA14" i="14"/>
  <c r="BB14" i="14"/>
  <c r="BC14" i="14"/>
  <c r="BD14" i="14"/>
  <c r="BE14" i="14"/>
  <c r="AT15" i="14"/>
  <c r="AU15" i="14"/>
  <c r="AV15" i="14"/>
  <c r="AW15" i="14"/>
  <c r="AX15" i="14"/>
  <c r="AY15" i="14"/>
  <c r="AZ15" i="14"/>
  <c r="BA15" i="14"/>
  <c r="BB15" i="14"/>
  <c r="BC15" i="14"/>
  <c r="BD15" i="14"/>
  <c r="BE15" i="14"/>
  <c r="AS15" i="14"/>
  <c r="AS14" i="14"/>
  <c r="AS13" i="14"/>
  <c r="AC13" i="14"/>
  <c r="AD13" i="14"/>
  <c r="AE13" i="14"/>
  <c r="AF13" i="14"/>
  <c r="AG13" i="14"/>
  <c r="AH13" i="14"/>
  <c r="AI13" i="14"/>
  <c r="AJ13" i="14"/>
  <c r="AK13" i="14"/>
  <c r="AL13" i="14"/>
  <c r="AM13" i="14"/>
  <c r="AC14" i="14"/>
  <c r="AD14" i="14"/>
  <c r="AE14" i="14"/>
  <c r="AF14" i="14"/>
  <c r="AG14" i="14"/>
  <c r="AH14" i="14"/>
  <c r="AI14" i="14"/>
  <c r="AJ14" i="14"/>
  <c r="AK14" i="14"/>
  <c r="AL14" i="14"/>
  <c r="AM14" i="14"/>
  <c r="AC15" i="14"/>
  <c r="AD15" i="14"/>
  <c r="AE15" i="14"/>
  <c r="AF15" i="14"/>
  <c r="AG15" i="14"/>
  <c r="AH15" i="14"/>
  <c r="AI15" i="14"/>
  <c r="AJ15" i="14"/>
  <c r="AK15" i="14"/>
  <c r="AL15" i="14"/>
  <c r="AM15" i="14"/>
  <c r="AB15" i="14"/>
  <c r="AB14" i="14"/>
  <c r="AB13" i="14"/>
  <c r="F13" i="14"/>
  <c r="G13" i="14"/>
  <c r="H13" i="14"/>
  <c r="I13" i="14"/>
  <c r="J13" i="14"/>
  <c r="K13" i="14"/>
  <c r="L13" i="14"/>
  <c r="M13" i="14"/>
  <c r="N13" i="14"/>
  <c r="O13" i="14"/>
  <c r="P13" i="14"/>
  <c r="Q13" i="14"/>
  <c r="R13" i="14"/>
  <c r="S13" i="14"/>
  <c r="T13" i="14"/>
  <c r="U13" i="14"/>
  <c r="V13" i="14"/>
  <c r="W13" i="14"/>
  <c r="X13" i="14"/>
  <c r="F14" i="14"/>
  <c r="G14" i="14"/>
  <c r="H14" i="14"/>
  <c r="I14" i="14"/>
  <c r="J14" i="14"/>
  <c r="K14" i="14"/>
  <c r="L14" i="14"/>
  <c r="M14" i="14"/>
  <c r="N14" i="14"/>
  <c r="O14" i="14"/>
  <c r="P14" i="14"/>
  <c r="Q14" i="14"/>
  <c r="R14" i="14"/>
  <c r="S14" i="14"/>
  <c r="T14" i="14"/>
  <c r="U14" i="14"/>
  <c r="V14" i="14"/>
  <c r="W14" i="14"/>
  <c r="X14" i="14"/>
  <c r="F15" i="14"/>
  <c r="G15" i="14"/>
  <c r="H15" i="14"/>
  <c r="I15" i="14"/>
  <c r="J15" i="14"/>
  <c r="K15" i="14"/>
  <c r="L15" i="14"/>
  <c r="M15" i="14"/>
  <c r="N15" i="14"/>
  <c r="O15" i="14"/>
  <c r="P15" i="14"/>
  <c r="Q15" i="14"/>
  <c r="R15" i="14"/>
  <c r="S15" i="14"/>
  <c r="T15" i="14"/>
  <c r="U15" i="14"/>
  <c r="V15" i="14"/>
  <c r="W15" i="14"/>
  <c r="X15" i="14"/>
  <c r="E13" i="14"/>
  <c r="E14" i="14"/>
  <c r="E15" i="14"/>
  <c r="S8" i="14"/>
  <c r="T8" i="14"/>
  <c r="U8" i="14"/>
  <c r="S9" i="14"/>
  <c r="T9" i="14"/>
  <c r="U9" i="14"/>
  <c r="S10" i="14"/>
  <c r="T10" i="14"/>
  <c r="U10" i="14"/>
  <c r="S11" i="14"/>
  <c r="T11" i="14"/>
  <c r="U11" i="14"/>
  <c r="R11" i="14"/>
  <c r="R10" i="14"/>
  <c r="R9" i="14"/>
  <c r="R8" i="14"/>
  <c r="F8" i="14"/>
  <c r="G8" i="14"/>
  <c r="H8" i="14"/>
  <c r="I8" i="14"/>
  <c r="J8" i="14"/>
  <c r="K8" i="14"/>
  <c r="L8" i="14"/>
  <c r="M8" i="14"/>
  <c r="N8" i="14"/>
  <c r="O8" i="14"/>
  <c r="F9" i="14"/>
  <c r="G9" i="14"/>
  <c r="H9" i="14"/>
  <c r="I9" i="14"/>
  <c r="J9" i="14"/>
  <c r="K9" i="14"/>
  <c r="L9" i="14"/>
  <c r="M9" i="14"/>
  <c r="N9" i="14"/>
  <c r="O9" i="14"/>
  <c r="F10" i="14"/>
  <c r="G10" i="14"/>
  <c r="H10" i="14"/>
  <c r="I10" i="14"/>
  <c r="J10" i="14"/>
  <c r="K10" i="14"/>
  <c r="L10" i="14"/>
  <c r="M10" i="14"/>
  <c r="N10" i="14"/>
  <c r="O10" i="14"/>
  <c r="F11" i="14"/>
  <c r="G11" i="14"/>
  <c r="H11" i="14"/>
  <c r="I11" i="14"/>
  <c r="J11" i="14"/>
  <c r="K11" i="14"/>
  <c r="L11" i="14"/>
  <c r="M11" i="14"/>
  <c r="N11" i="14"/>
  <c r="O11" i="14"/>
  <c r="E9" i="14"/>
  <c r="E10" i="14"/>
  <c r="E11" i="14"/>
  <c r="E8" i="14"/>
  <c r="D339" i="24" l="1"/>
  <c r="D31" i="14"/>
  <c r="D32" i="14" s="1"/>
  <c r="C46" i="20"/>
  <c r="C48" i="20"/>
  <c r="C170" i="8" s="1"/>
  <c r="C85" i="24"/>
  <c r="C84" i="24"/>
  <c r="C167" i="24"/>
  <c r="C168" i="24" s="1"/>
  <c r="P50" i="4"/>
  <c r="J50" i="4"/>
  <c r="K50" i="4" s="1"/>
  <c r="BM33" i="14"/>
  <c r="B102" i="8"/>
  <c r="B181" i="8"/>
  <c r="D41" i="19"/>
  <c r="D42" i="19" s="1"/>
  <c r="D43" i="19" s="1"/>
  <c r="D50" i="19" s="1"/>
  <c r="D52" i="19" s="1"/>
  <c r="B271" i="3" l="1"/>
  <c r="B301" i="13"/>
  <c r="B302" i="13"/>
  <c r="D54" i="19"/>
  <c r="D55" i="19" s="1"/>
  <c r="D58" i="19" s="1"/>
  <c r="B65" i="8"/>
  <c r="B64" i="8"/>
  <c r="C293" i="3"/>
  <c r="C292" i="3"/>
  <c r="C291" i="3"/>
  <c r="E26" i="8"/>
  <c r="B26" i="8"/>
  <c r="B12" i="8"/>
  <c r="B11" i="8"/>
  <c r="C18" i="11"/>
  <c r="J12" i="4"/>
  <c r="K12" i="4" s="1"/>
  <c r="P12" i="4"/>
  <c r="B200" i="20"/>
  <c r="J197" i="20"/>
  <c r="J198" i="20"/>
  <c r="B227" i="3"/>
  <c r="J224" i="3"/>
  <c r="J225" i="3"/>
  <c r="B257" i="13"/>
  <c r="J255" i="13"/>
  <c r="E79" i="13"/>
  <c r="E92" i="13"/>
  <c r="E104" i="13"/>
  <c r="E119" i="13"/>
  <c r="L4" i="14"/>
  <c r="K4" i="14"/>
  <c r="O4" i="14"/>
  <c r="M5" i="14"/>
  <c r="M33" i="14" s="1"/>
  <c r="M4" i="14"/>
  <c r="N4" i="14"/>
  <c r="L5" i="14"/>
  <c r="L33" i="14" s="1"/>
  <c r="H4" i="14"/>
  <c r="I4" i="14"/>
  <c r="G4" i="14"/>
  <c r="F4" i="14"/>
  <c r="E4" i="14"/>
  <c r="AU4" i="14"/>
  <c r="AT4" i="14"/>
  <c r="AV4" i="14"/>
  <c r="AW4" i="14"/>
  <c r="AS4" i="14"/>
  <c r="AT11" i="14"/>
  <c r="AU11" i="14" s="1"/>
  <c r="AV11" i="14" s="1"/>
  <c r="AW11" i="14" s="1"/>
  <c r="AT10" i="14"/>
  <c r="AU10" i="14" s="1"/>
  <c r="AV10" i="14" s="1"/>
  <c r="AW10" i="14" s="1"/>
  <c r="AT9" i="14"/>
  <c r="AU9" i="14" s="1"/>
  <c r="AV9" i="14" s="1"/>
  <c r="AW9" i="14" s="1"/>
  <c r="AT8" i="14"/>
  <c r="AU8" i="14" s="1"/>
  <c r="AV8" i="14" s="1"/>
  <c r="AW8" i="14" s="1"/>
  <c r="AT5" i="14"/>
  <c r="AT33" i="14" s="1"/>
  <c r="C48" i="13"/>
  <c r="C65" i="8" s="1"/>
  <c r="B48" i="13"/>
  <c r="B52" i="3"/>
  <c r="AY4" i="14"/>
  <c r="S6" i="14"/>
  <c r="T6" i="14"/>
  <c r="U6" i="14"/>
  <c r="T5" i="14"/>
  <c r="T33" i="14" s="1"/>
  <c r="U5" i="14"/>
  <c r="U33" i="14" s="1"/>
  <c r="S5" i="14"/>
  <c r="S33" i="14" s="1"/>
  <c r="T4" i="14"/>
  <c r="U4" i="14"/>
  <c r="R4" i="14"/>
  <c r="S4" i="14"/>
  <c r="V4" i="14"/>
  <c r="C65" i="13" l="1"/>
  <c r="C66" i="13" s="1"/>
  <c r="C105" i="13"/>
  <c r="C106" i="13" s="1"/>
  <c r="C80" i="13"/>
  <c r="C81" i="13" s="1"/>
  <c r="C93" i="13"/>
  <c r="C94" i="13" s="1"/>
  <c r="D332" i="13"/>
  <c r="C117" i="13"/>
  <c r="C125" i="13"/>
  <c r="C126" i="13" s="1"/>
  <c r="C116" i="13"/>
  <c r="C119" i="13" s="1"/>
  <c r="B18" i="11"/>
  <c r="E69" i="3"/>
  <c r="E310" i="3"/>
  <c r="C19" i="11"/>
  <c r="B19" i="11" s="1"/>
  <c r="O5" i="14"/>
  <c r="O33" i="14" s="1"/>
  <c r="AU5" i="14"/>
  <c r="AU33" i="14" s="1"/>
  <c r="N5" i="14"/>
  <c r="N33" i="14" s="1"/>
  <c r="C52" i="3"/>
  <c r="C12" i="8" s="1"/>
  <c r="C40" i="8"/>
  <c r="C46" i="8"/>
  <c r="C53" i="8"/>
  <c r="C47" i="8"/>
  <c r="C48" i="8"/>
  <c r="C108" i="8"/>
  <c r="D60" i="19"/>
  <c r="D61" i="19" s="1"/>
  <c r="D62" i="19" s="1"/>
  <c r="E299" i="3"/>
  <c r="C42" i="13"/>
  <c r="C64" i="8" s="1"/>
  <c r="B42" i="13"/>
  <c r="C197" i="20" l="1"/>
  <c r="F42" i="8"/>
  <c r="C20" i="11"/>
  <c r="B20" i="11" s="1"/>
  <c r="AV5" i="14"/>
  <c r="AV33" i="14" s="1"/>
  <c r="C181" i="8" l="1"/>
  <c r="I200" i="20"/>
  <c r="I201" i="20" s="1"/>
  <c r="C21" i="11"/>
  <c r="AW5" i="14"/>
  <c r="AW33" i="14" s="1"/>
  <c r="B21" i="11" l="1"/>
  <c r="C26" i="8"/>
  <c r="C22" i="11"/>
  <c r="B22" i="11" l="1"/>
  <c r="C23" i="11"/>
  <c r="B45" i="3"/>
  <c r="C45" i="3"/>
  <c r="B23" i="11" l="1"/>
  <c r="C24" i="11"/>
  <c r="B24" i="11" s="1"/>
  <c r="C11" i="8"/>
  <c r="B25" i="11" l="1"/>
  <c r="C25" i="11"/>
  <c r="E185" i="8"/>
  <c r="B185" i="8"/>
  <c r="B88" i="8"/>
  <c r="E85" i="8"/>
  <c r="B85" i="8"/>
  <c r="B33" i="8"/>
  <c r="E30" i="8"/>
  <c r="B30" i="8"/>
  <c r="C239" i="20"/>
  <c r="C185" i="8" s="1"/>
  <c r="C266" i="3"/>
  <c r="C296" i="13"/>
  <c r="C85" i="8" s="1"/>
  <c r="C30" i="8" l="1"/>
  <c r="B296" i="13"/>
  <c r="B239" i="20"/>
  <c r="P14" i="4"/>
  <c r="B266" i="3"/>
  <c r="J14" i="4" l="1"/>
  <c r="K14" i="4" s="1"/>
  <c r="G262" i="3" l="1"/>
  <c r="G292" i="13"/>
  <c r="I292" i="13" s="1"/>
  <c r="K292" i="13" s="1"/>
  <c r="G263" i="3" l="1"/>
  <c r="G293" i="13"/>
  <c r="I293" i="13" s="1"/>
  <c r="K293" i="13" s="1"/>
  <c r="G264" i="3"/>
  <c r="G294" i="13"/>
  <c r="I294" i="13" s="1"/>
  <c r="K294" i="13" s="1"/>
  <c r="I273" i="24" l="1"/>
  <c r="K273" i="24" s="1"/>
  <c r="I274" i="24"/>
  <c r="K274" i="24" s="1"/>
  <c r="I275" i="24"/>
  <c r="K275" i="24" s="1"/>
  <c r="I262" i="3"/>
  <c r="K262" i="3" s="1"/>
  <c r="K277" i="24" l="1"/>
  <c r="I277" i="24" s="1"/>
  <c r="D137" i="8" s="1"/>
  <c r="I236" i="20"/>
  <c r="K236" i="20" s="1"/>
  <c r="I264" i="3"/>
  <c r="K264" i="3" s="1"/>
  <c r="I237" i="20"/>
  <c r="K237" i="20" s="1"/>
  <c r="I263" i="3"/>
  <c r="K263" i="3" s="1"/>
  <c r="I235" i="20"/>
  <c r="K235" i="20" s="1"/>
  <c r="F137" i="8" l="1"/>
  <c r="K296" i="13"/>
  <c r="F85" i="8" s="1"/>
  <c r="K239" i="20"/>
  <c r="K266" i="3"/>
  <c r="I266" i="3" s="1"/>
  <c r="D30" i="8" s="1"/>
  <c r="J37" i="3"/>
  <c r="I239" i="20" l="1"/>
  <c r="D185" i="8" s="1"/>
  <c r="F185" i="8"/>
  <c r="I296" i="13"/>
  <c r="D85" i="8" s="1"/>
  <c r="F30" i="8"/>
  <c r="P123" i="4"/>
  <c r="K123" i="4"/>
  <c r="P122" i="4"/>
  <c r="B101" i="8"/>
  <c r="E47" i="8"/>
  <c r="E48" i="8"/>
  <c r="B48" i="8"/>
  <c r="B47" i="8"/>
  <c r="E46" i="8"/>
  <c r="B46" i="8"/>
  <c r="E186" i="8"/>
  <c r="B186" i="8"/>
  <c r="E184" i="8"/>
  <c r="B184" i="8"/>
  <c r="E183" i="8"/>
  <c r="B183" i="8"/>
  <c r="E182" i="8"/>
  <c r="B182" i="8"/>
  <c r="E180" i="8"/>
  <c r="B180" i="8"/>
  <c r="E179" i="8"/>
  <c r="B179" i="8"/>
  <c r="E178" i="8"/>
  <c r="B178" i="8"/>
  <c r="E177" i="8"/>
  <c r="B177" i="8"/>
  <c r="E176" i="8"/>
  <c r="B176" i="8"/>
  <c r="E175" i="8"/>
  <c r="B175" i="8"/>
  <c r="E174" i="8"/>
  <c r="B174" i="8"/>
  <c r="E173" i="8"/>
  <c r="B173" i="8"/>
  <c r="E167" i="8"/>
  <c r="B167" i="8"/>
  <c r="J122" i="4" l="1"/>
  <c r="K122" i="4" s="1"/>
  <c r="J123" i="4"/>
  <c r="C144" i="20"/>
  <c r="C146" i="20" s="1"/>
  <c r="B62" i="8"/>
  <c r="E62" i="8"/>
  <c r="B63" i="8"/>
  <c r="E63" i="8"/>
  <c r="B66" i="8"/>
  <c r="E66" i="8"/>
  <c r="B67" i="8"/>
  <c r="E67" i="8"/>
  <c r="B68" i="8"/>
  <c r="E68" i="8"/>
  <c r="B69" i="8"/>
  <c r="E69" i="8"/>
  <c r="B70" i="8"/>
  <c r="E70" i="8"/>
  <c r="B71" i="8"/>
  <c r="E71" i="8"/>
  <c r="B72" i="8"/>
  <c r="B73" i="8"/>
  <c r="E73" i="8"/>
  <c r="B74" i="8"/>
  <c r="E74" i="8"/>
  <c r="B75" i="8"/>
  <c r="E75" i="8"/>
  <c r="B76" i="8"/>
  <c r="E76" i="8"/>
  <c r="B77" i="8"/>
  <c r="E77" i="8"/>
  <c r="B78" i="8"/>
  <c r="E78" i="8"/>
  <c r="B79" i="8"/>
  <c r="E79" i="8"/>
  <c r="B80" i="8"/>
  <c r="E80" i="8"/>
  <c r="B82" i="8"/>
  <c r="E82" i="8"/>
  <c r="B83" i="8"/>
  <c r="E83" i="8"/>
  <c r="B84" i="8"/>
  <c r="E84" i="8"/>
  <c r="B86" i="8"/>
  <c r="E86" i="8"/>
  <c r="B87" i="8"/>
  <c r="F166" i="8"/>
  <c r="E166" i="8"/>
  <c r="D166" i="8"/>
  <c r="C166" i="8"/>
  <c r="B274" i="20" a="1"/>
  <c r="B274" i="20" s="1"/>
  <c r="I277" i="20"/>
  <c r="I278" i="20"/>
  <c r="I279" i="20"/>
  <c r="I280" i="20"/>
  <c r="I281" i="20"/>
  <c r="I282" i="20"/>
  <c r="F21" i="22"/>
  <c r="F22" i="22" s="1"/>
  <c r="E21" i="22"/>
  <c r="E22" i="22" s="1"/>
  <c r="Q6" i="14"/>
  <c r="B2" i="22"/>
  <c r="B260" i="20"/>
  <c r="J258" i="20"/>
  <c r="I258" i="20"/>
  <c r="J257" i="20"/>
  <c r="I257" i="20"/>
  <c r="J256" i="20"/>
  <c r="I256" i="20"/>
  <c r="J255" i="20"/>
  <c r="I255" i="20"/>
  <c r="J254" i="20"/>
  <c r="I254" i="20"/>
  <c r="J253" i="20"/>
  <c r="I253" i="20"/>
  <c r="B249" i="20"/>
  <c r="I247" i="20"/>
  <c r="I246" i="20"/>
  <c r="I245" i="20"/>
  <c r="B231" i="20"/>
  <c r="B221" i="20"/>
  <c r="B211" i="20"/>
  <c r="B182" i="20"/>
  <c r="B169" i="20"/>
  <c r="B152" i="20"/>
  <c r="B132" i="20"/>
  <c r="B122" i="20"/>
  <c r="B112" i="20"/>
  <c r="B105" i="20"/>
  <c r="B91" i="20"/>
  <c r="B2" i="20"/>
  <c r="B7" i="19"/>
  <c r="C151" i="3"/>
  <c r="C153" i="3" s="1"/>
  <c r="P38" i="4"/>
  <c r="P90" i="4"/>
  <c r="B67" i="24" l="1"/>
  <c r="B56" i="24"/>
  <c r="C155" i="3"/>
  <c r="C156" i="3" s="1"/>
  <c r="C180" i="8"/>
  <c r="C221" i="20"/>
  <c r="C183" i="8" s="1"/>
  <c r="C229" i="20"/>
  <c r="E35" i="20"/>
  <c r="E44" i="20"/>
  <c r="B218" i="8"/>
  <c r="B225" i="8"/>
  <c r="B232" i="8"/>
  <c r="C91" i="20"/>
  <c r="C173" i="8" s="1"/>
  <c r="K253" i="20"/>
  <c r="K255" i="20"/>
  <c r="J38" i="4"/>
  <c r="K38" i="4" s="1"/>
  <c r="E272" i="20"/>
  <c r="K254" i="20"/>
  <c r="K258" i="20"/>
  <c r="K256" i="20"/>
  <c r="K257" i="20"/>
  <c r="K246" i="20"/>
  <c r="K247" i="20"/>
  <c r="C122" i="20"/>
  <c r="C176" i="8" s="1"/>
  <c r="C132" i="20"/>
  <c r="C177" i="8" s="1"/>
  <c r="C249" i="20"/>
  <c r="C186" i="8" s="1"/>
  <c r="C112" i="20"/>
  <c r="C175" i="8" s="1"/>
  <c r="C105" i="20"/>
  <c r="C174" i="8" s="1"/>
  <c r="K245" i="20"/>
  <c r="C23" i="20"/>
  <c r="C167" i="8" s="1"/>
  <c r="J90" i="4"/>
  <c r="K90" i="4" s="1"/>
  <c r="C211" i="20" l="1"/>
  <c r="C182" i="8" s="1"/>
  <c r="C260" i="20"/>
  <c r="C187" i="8" s="1"/>
  <c r="C218" i="20"/>
  <c r="C208" i="20"/>
  <c r="C231" i="20"/>
  <c r="C184" i="8" s="1"/>
  <c r="C219" i="20"/>
  <c r="C228" i="20"/>
  <c r="C209" i="20"/>
  <c r="C167" i="20"/>
  <c r="K260" i="20"/>
  <c r="F187" i="8" s="1"/>
  <c r="C179" i="8"/>
  <c r="I260" i="20" l="1"/>
  <c r="D187" i="8" s="1"/>
  <c r="E203" i="3" l="1"/>
  <c r="C207" i="3" s="1"/>
  <c r="G180" i="12" a="1"/>
  <c r="G180" i="12" s="1"/>
  <c r="G201" i="12" a="1"/>
  <c r="E193" i="3"/>
  <c r="C197" i="3" s="1"/>
  <c r="P107" i="4"/>
  <c r="E10" i="8"/>
  <c r="B10" i="8"/>
  <c r="B39" i="3"/>
  <c r="B61" i="13"/>
  <c r="D329" i="3" l="1"/>
  <c r="G201" i="12"/>
  <c r="C39" i="3"/>
  <c r="J107" i="4"/>
  <c r="K107" i="4" s="1"/>
  <c r="C61" i="13"/>
  <c r="C67" i="8" s="1"/>
  <c r="C37" i="24" l="1"/>
  <c r="C35" i="3"/>
  <c r="C36" i="24"/>
  <c r="C33" i="13"/>
  <c r="C31" i="13"/>
  <c r="C32" i="13"/>
  <c r="C37" i="3"/>
  <c r="C38" i="24"/>
  <c r="C36" i="3"/>
  <c r="C34" i="13"/>
  <c r="C35" i="24"/>
  <c r="C34" i="3"/>
  <c r="C109" i="8"/>
  <c r="C41" i="8"/>
  <c r="C54" i="8"/>
  <c r="C10" i="8"/>
  <c r="AO6" i="14"/>
  <c r="AP6" i="14" s="1"/>
  <c r="AQ6" i="14" s="1"/>
  <c r="AR6" i="14" s="1"/>
  <c r="AX6" i="14" s="1"/>
  <c r="AY6" i="14" s="1"/>
  <c r="AZ6" i="14" s="1"/>
  <c r="BA6" i="14" s="1"/>
  <c r="BB6" i="14" s="1"/>
  <c r="BC6" i="14" s="1"/>
  <c r="BD6" i="14" s="1"/>
  <c r="Z6" i="14"/>
  <c r="AA6" i="14" s="1"/>
  <c r="AB6" i="14" s="1"/>
  <c r="AC6" i="14" s="1"/>
  <c r="AD6" i="14" s="1"/>
  <c r="AE6" i="14" s="1"/>
  <c r="AF6" i="14" s="1"/>
  <c r="AG6" i="14" s="1"/>
  <c r="AH6" i="14" s="1"/>
  <c r="AI6" i="14" s="1"/>
  <c r="AJ6" i="14" s="1"/>
  <c r="AK6" i="14" s="1"/>
  <c r="AL6" i="14" s="1"/>
  <c r="AM6" i="14" s="1"/>
  <c r="W6" i="14"/>
  <c r="X6" i="14" s="1"/>
  <c r="P9" i="14"/>
  <c r="P10" i="14"/>
  <c r="P11" i="14"/>
  <c r="P8" i="14"/>
  <c r="W28" i="14"/>
  <c r="Q29" i="14"/>
  <c r="Q31" i="14" s="1"/>
  <c r="Q32" i="14" s="1"/>
  <c r="P31" i="14"/>
  <c r="P32" i="14" s="1"/>
  <c r="W30" i="14"/>
  <c r="X30" i="14" s="1"/>
  <c r="Y30" i="14" s="1"/>
  <c r="Z30" i="14" s="1"/>
  <c r="P79" i="4"/>
  <c r="P118" i="4"/>
  <c r="P119" i="4"/>
  <c r="P120" i="4"/>
  <c r="K121" i="4"/>
  <c r="P121" i="4"/>
  <c r="D61" i="8"/>
  <c r="E61" i="8"/>
  <c r="C61" i="8"/>
  <c r="P30" i="4"/>
  <c r="P82" i="4"/>
  <c r="P29" i="4"/>
  <c r="D65" i="13"/>
  <c r="D66" i="13" s="1"/>
  <c r="X28" i="14" l="1"/>
  <c r="X29" i="14" s="1"/>
  <c r="X31" i="14" s="1"/>
  <c r="X32" i="14" s="1"/>
  <c r="W29" i="14"/>
  <c r="W31" i="14" s="1"/>
  <c r="W32" i="14" s="1"/>
  <c r="C168" i="8"/>
  <c r="J79" i="4"/>
  <c r="K79" i="4" s="1"/>
  <c r="J118" i="4"/>
  <c r="K118" i="4" s="1"/>
  <c r="Q11" i="14"/>
  <c r="V11" i="14" s="1"/>
  <c r="W11" i="14" s="1"/>
  <c r="X11" i="14" s="1"/>
  <c r="Q10" i="14"/>
  <c r="V10" i="14" s="1"/>
  <c r="W10" i="14" s="1"/>
  <c r="X10" i="14" s="1"/>
  <c r="Q9" i="14"/>
  <c r="V9" i="14" s="1"/>
  <c r="W9" i="14" s="1"/>
  <c r="X9" i="14" s="1"/>
  <c r="Q8" i="14"/>
  <c r="V8" i="14" s="1"/>
  <c r="W8" i="14" s="1"/>
  <c r="X8" i="14" s="1"/>
  <c r="AA30" i="14"/>
  <c r="J121" i="4"/>
  <c r="J119" i="4"/>
  <c r="K119" i="4" s="1"/>
  <c r="J120" i="4"/>
  <c r="K120" i="4" s="1"/>
  <c r="J82" i="4"/>
  <c r="K82" i="4" s="1"/>
  <c r="D69" i="13"/>
  <c r="D70" i="13"/>
  <c r="Y28" i="14" l="1"/>
  <c r="Y29" i="14" s="1"/>
  <c r="Y31" i="14" s="1"/>
  <c r="Y32" i="14" s="1"/>
  <c r="E123" i="13"/>
  <c r="E109" i="13"/>
  <c r="E97" i="13"/>
  <c r="B128" i="13"/>
  <c r="B72" i="13"/>
  <c r="BD26" i="14"/>
  <c r="BE26" i="14" s="1"/>
  <c r="AZ26" i="14"/>
  <c r="BA26" i="14" s="1"/>
  <c r="BB26" i="14" s="1"/>
  <c r="AO26" i="14"/>
  <c r="AP26" i="14" s="1"/>
  <c r="AQ26" i="14" s="1"/>
  <c r="AR26" i="14" s="1"/>
  <c r="AK26" i="14"/>
  <c r="AL26" i="14" s="1"/>
  <c r="AM26" i="14" s="1"/>
  <c r="AG26" i="14"/>
  <c r="AH26" i="14" s="1"/>
  <c r="AI26" i="14" s="1"/>
  <c r="AC26" i="14"/>
  <c r="AD26" i="14" s="1"/>
  <c r="AE26" i="14" s="1"/>
  <c r="Z26" i="14"/>
  <c r="AA26" i="14" s="1"/>
  <c r="W26" i="14"/>
  <c r="X26" i="14" s="1"/>
  <c r="Q26" i="14"/>
  <c r="AO14" i="14"/>
  <c r="AP14" i="14" s="1"/>
  <c r="AQ14" i="14" s="1"/>
  <c r="AR14" i="14" s="1"/>
  <c r="AO15" i="14"/>
  <c r="AP15" i="14" s="1"/>
  <c r="AQ15" i="14" s="1"/>
  <c r="AR15" i="14" s="1"/>
  <c r="AO13" i="14"/>
  <c r="AP13" i="14" s="1"/>
  <c r="AQ13" i="14" s="1"/>
  <c r="AR13" i="14" s="1"/>
  <c r="Z14" i="14"/>
  <c r="AA14" i="14" s="1"/>
  <c r="Z15" i="14"/>
  <c r="AA15" i="14" s="1"/>
  <c r="Z13" i="14"/>
  <c r="AA13" i="14" s="1"/>
  <c r="Z9" i="14"/>
  <c r="AA9" i="14" s="1"/>
  <c r="AB9" i="14" s="1"/>
  <c r="AC9" i="14" s="1"/>
  <c r="AD9" i="14" s="1"/>
  <c r="AE9" i="14" s="1"/>
  <c r="AF9" i="14" s="1"/>
  <c r="AG9" i="14" s="1"/>
  <c r="AH9" i="14" s="1"/>
  <c r="AI9" i="14" s="1"/>
  <c r="AJ9" i="14" s="1"/>
  <c r="AK9" i="14" s="1"/>
  <c r="AL9" i="14" s="1"/>
  <c r="AM9" i="14" s="1"/>
  <c r="Z10" i="14"/>
  <c r="AA10" i="14" s="1"/>
  <c r="AB10" i="14" s="1"/>
  <c r="AC10" i="14" s="1"/>
  <c r="AD10" i="14" s="1"/>
  <c r="AE10" i="14" s="1"/>
  <c r="AF10" i="14" s="1"/>
  <c r="AG10" i="14" s="1"/>
  <c r="AH10" i="14" s="1"/>
  <c r="AI10" i="14" s="1"/>
  <c r="AJ10" i="14" s="1"/>
  <c r="AK10" i="14" s="1"/>
  <c r="AL10" i="14" s="1"/>
  <c r="AM10" i="14" s="1"/>
  <c r="Z11" i="14"/>
  <c r="AA11" i="14" s="1"/>
  <c r="AB11" i="14" s="1"/>
  <c r="AC11" i="14" s="1"/>
  <c r="AD11" i="14" s="1"/>
  <c r="AE11" i="14" s="1"/>
  <c r="AF11" i="14" s="1"/>
  <c r="AG11" i="14" s="1"/>
  <c r="AH11" i="14" s="1"/>
  <c r="AI11" i="14" s="1"/>
  <c r="AJ11" i="14" s="1"/>
  <c r="AK11" i="14" s="1"/>
  <c r="AL11" i="14" s="1"/>
  <c r="AM11" i="14" s="1"/>
  <c r="Z8" i="14"/>
  <c r="AA8" i="14" s="1"/>
  <c r="AB8" i="14" s="1"/>
  <c r="AC8" i="14" s="1"/>
  <c r="AD8" i="14" s="1"/>
  <c r="AE8" i="14" s="1"/>
  <c r="AF8" i="14" s="1"/>
  <c r="AG8" i="14" s="1"/>
  <c r="AH8" i="14" s="1"/>
  <c r="AI8" i="14" s="1"/>
  <c r="AJ8" i="14" s="1"/>
  <c r="AK8" i="14" s="1"/>
  <c r="AL8" i="14" s="1"/>
  <c r="AM8" i="14" s="1"/>
  <c r="AO9" i="14"/>
  <c r="AP9" i="14" s="1"/>
  <c r="AQ9" i="14" s="1"/>
  <c r="AR9" i="14" s="1"/>
  <c r="AX9" i="14" s="1"/>
  <c r="AY9" i="14" s="1"/>
  <c r="AZ9" i="14" s="1"/>
  <c r="BA9" i="14" s="1"/>
  <c r="BB9" i="14" s="1"/>
  <c r="BC9" i="14" s="1"/>
  <c r="BD9" i="14" s="1"/>
  <c r="BE9" i="14" s="1"/>
  <c r="AO10" i="14"/>
  <c r="AP10" i="14" s="1"/>
  <c r="AQ10" i="14" s="1"/>
  <c r="AR10" i="14" s="1"/>
  <c r="AX10" i="14" s="1"/>
  <c r="AY10" i="14" s="1"/>
  <c r="AZ10" i="14" s="1"/>
  <c r="BA10" i="14" s="1"/>
  <c r="BB10" i="14" s="1"/>
  <c r="BC10" i="14" s="1"/>
  <c r="BD10" i="14" s="1"/>
  <c r="BE10" i="14" s="1"/>
  <c r="AO11" i="14"/>
  <c r="AP11" i="14" s="1"/>
  <c r="AQ11" i="14" s="1"/>
  <c r="AR11" i="14" s="1"/>
  <c r="AX11" i="14" s="1"/>
  <c r="AY11" i="14" s="1"/>
  <c r="AZ11" i="14" s="1"/>
  <c r="BA11" i="14" s="1"/>
  <c r="BB11" i="14" s="1"/>
  <c r="BC11" i="14" s="1"/>
  <c r="BD11" i="14" s="1"/>
  <c r="BE11" i="14" s="1"/>
  <c r="AO8" i="14"/>
  <c r="AP8" i="14" s="1"/>
  <c r="AQ8" i="14" s="1"/>
  <c r="AR8" i="14" s="1"/>
  <c r="AX8" i="14" s="1"/>
  <c r="AY8" i="14" s="1"/>
  <c r="AZ8" i="14" s="1"/>
  <c r="BA8" i="14" s="1"/>
  <c r="BB8" i="14" s="1"/>
  <c r="BC8" i="14" s="1"/>
  <c r="BD8" i="14" s="1"/>
  <c r="BE8" i="14" s="1"/>
  <c r="Q5" i="14"/>
  <c r="Q33" i="14" s="1"/>
  <c r="Z5" i="14"/>
  <c r="Z33" i="14" s="1"/>
  <c r="AC5" i="14"/>
  <c r="AC33" i="14" s="1"/>
  <c r="AG5" i="14"/>
  <c r="AG33" i="14" s="1"/>
  <c r="AK5" i="14"/>
  <c r="AK33" i="14" s="1"/>
  <c r="BD5" i="14"/>
  <c r="BD33" i="14" s="1"/>
  <c r="AZ5" i="14"/>
  <c r="AZ33" i="14" s="1"/>
  <c r="AO5" i="14"/>
  <c r="AO33" i="14" s="1"/>
  <c r="BD4" i="14"/>
  <c r="BC4" i="14"/>
  <c r="AZ4" i="14"/>
  <c r="BA4" i="14"/>
  <c r="BB4" i="14"/>
  <c r="AX4" i="14"/>
  <c r="AO4" i="14"/>
  <c r="AP4" i="14"/>
  <c r="AQ4" i="14"/>
  <c r="AR4" i="14"/>
  <c r="AN4" i="14"/>
  <c r="AK4" i="14"/>
  <c r="AL4" i="14"/>
  <c r="AM4" i="14"/>
  <c r="AJ4" i="14"/>
  <c r="AG4" i="14"/>
  <c r="AH4" i="14"/>
  <c r="AI4" i="14"/>
  <c r="AF4" i="14"/>
  <c r="AC4" i="14"/>
  <c r="AD4" i="14"/>
  <c r="AE4" i="14"/>
  <c r="AB4" i="14"/>
  <c r="Z4" i="14"/>
  <c r="AA4" i="14"/>
  <c r="Y4" i="14"/>
  <c r="W4" i="14"/>
  <c r="X4" i="14"/>
  <c r="Q4" i="14"/>
  <c r="P4" i="14"/>
  <c r="G159" i="12" a="1"/>
  <c r="G138" i="12" a="1"/>
  <c r="G138" i="12" s="1"/>
  <c r="B213" i="13"/>
  <c r="B243" i="13"/>
  <c r="B230" i="13"/>
  <c r="B288" i="13"/>
  <c r="B278" i="13"/>
  <c r="B268" i="13"/>
  <c r="B112" i="13"/>
  <c r="B100" i="13"/>
  <c r="B87" i="13"/>
  <c r="J280" i="3"/>
  <c r="E31" i="8"/>
  <c r="E29" i="8"/>
  <c r="E28" i="8"/>
  <c r="E27" i="8"/>
  <c r="E17" i="8"/>
  <c r="B32" i="8"/>
  <c r="B31" i="8"/>
  <c r="B29" i="8"/>
  <c r="B28" i="8"/>
  <c r="B27" i="8"/>
  <c r="B17" i="8"/>
  <c r="B54" i="13"/>
  <c r="B61" i="8"/>
  <c r="B36" i="13"/>
  <c r="B193" i="13"/>
  <c r="B183" i="13"/>
  <c r="B173" i="13"/>
  <c r="B166" i="13"/>
  <c r="B151" i="13"/>
  <c r="B319" i="13"/>
  <c r="J317" i="13"/>
  <c r="I317" i="13"/>
  <c r="J316" i="13"/>
  <c r="I316" i="13"/>
  <c r="J315" i="13"/>
  <c r="I315" i="13"/>
  <c r="J314" i="13"/>
  <c r="I314" i="13"/>
  <c r="J313" i="13"/>
  <c r="I313" i="13"/>
  <c r="I312" i="13"/>
  <c r="C288" i="13"/>
  <c r="C278" i="13"/>
  <c r="Z28" i="14" l="1"/>
  <c r="Z29" i="14" s="1"/>
  <c r="Z31" i="14" s="1"/>
  <c r="Z32" i="14" s="1"/>
  <c r="AH5" i="14"/>
  <c r="AH33" i="14" s="1"/>
  <c r="AA5" i="14"/>
  <c r="AA33" i="14" s="1"/>
  <c r="AP5" i="14"/>
  <c r="AP33" i="14" s="1"/>
  <c r="BA5" i="14"/>
  <c r="BA33" i="14" s="1"/>
  <c r="AD5" i="14"/>
  <c r="AD33" i="14" s="1"/>
  <c r="AL5" i="14"/>
  <c r="AL33" i="14" s="1"/>
  <c r="B216" i="8"/>
  <c r="B230" i="8"/>
  <c r="B223" i="8"/>
  <c r="C84" i="8"/>
  <c r="C83" i="8"/>
  <c r="C95" i="8"/>
  <c r="C91" i="13"/>
  <c r="C100" i="13" s="1"/>
  <c r="C70" i="8" s="1"/>
  <c r="C77" i="13"/>
  <c r="C87" i="13" s="1"/>
  <c r="C69" i="8" s="1"/>
  <c r="G159" i="12"/>
  <c r="C101" i="8"/>
  <c r="C86" i="8"/>
  <c r="C333" i="13"/>
  <c r="C36" i="13"/>
  <c r="C63" i="8" s="1"/>
  <c r="E331" i="13"/>
  <c r="C276" i="3"/>
  <c r="B300" i="13"/>
  <c r="B270" i="3"/>
  <c r="C334" i="13"/>
  <c r="C335" i="13"/>
  <c r="AC30" i="14"/>
  <c r="C319" i="13"/>
  <c r="C87" i="8" s="1"/>
  <c r="C151" i="13"/>
  <c r="C73" i="8" s="1"/>
  <c r="C54" i="13"/>
  <c r="C66" i="8" s="1"/>
  <c r="C193" i="13"/>
  <c r="C173" i="13"/>
  <c r="C75" i="8" s="1"/>
  <c r="C166" i="13"/>
  <c r="C74" i="8" s="1"/>
  <c r="C183" i="13"/>
  <c r="C76" i="8" s="1"/>
  <c r="K317" i="13"/>
  <c r="K315" i="13"/>
  <c r="K313" i="13"/>
  <c r="K314" i="13"/>
  <c r="K316" i="13"/>
  <c r="C285" i="13"/>
  <c r="C275" i="13"/>
  <c r="C276" i="13"/>
  <c r="C286" i="13"/>
  <c r="AA28" i="14" l="1"/>
  <c r="AA29" i="14" s="1"/>
  <c r="AA31" i="14" s="1"/>
  <c r="AA32" i="14" s="1"/>
  <c r="C332" i="13"/>
  <c r="D333" i="13"/>
  <c r="D354" i="13"/>
  <c r="BB5" i="14"/>
  <c r="BB33" i="14" s="1"/>
  <c r="AQ5" i="14"/>
  <c r="AQ33" i="14" s="1"/>
  <c r="AM5" i="14"/>
  <c r="AM33" i="14" s="1"/>
  <c r="AE5" i="14"/>
  <c r="AE33" i="14" s="1"/>
  <c r="AI5" i="14"/>
  <c r="AI33" i="14" s="1"/>
  <c r="C120" i="13"/>
  <c r="C247" i="13" s="1"/>
  <c r="C252" i="13" s="1"/>
  <c r="C69" i="13"/>
  <c r="C77" i="8"/>
  <c r="I193" i="13"/>
  <c r="C31" i="8"/>
  <c r="D334" i="13"/>
  <c r="D335" i="13"/>
  <c r="D339" i="13"/>
  <c r="D336" i="13"/>
  <c r="D337" i="13"/>
  <c r="D338" i="13"/>
  <c r="AD30" i="14"/>
  <c r="K312" i="13"/>
  <c r="K319" i="13" s="1"/>
  <c r="C92" i="13"/>
  <c r="C78" i="13"/>
  <c r="C79" i="13"/>
  <c r="C71" i="8"/>
  <c r="C84" i="13"/>
  <c r="C85" i="13" s="1"/>
  <c r="C110" i="13"/>
  <c r="I319" i="13" l="1"/>
  <c r="D87" i="8" s="1"/>
  <c r="F87" i="8"/>
  <c r="C254" i="13"/>
  <c r="C253" i="13"/>
  <c r="C82" i="13"/>
  <c r="C83" i="13" s="1"/>
  <c r="AR5" i="14"/>
  <c r="AR33" i="14" s="1"/>
  <c r="C95" i="13"/>
  <c r="C128" i="13"/>
  <c r="AC28" i="14"/>
  <c r="AC29" i="14" s="1"/>
  <c r="AC31" i="14" s="1"/>
  <c r="AC32" i="14" s="1"/>
  <c r="AE30" i="14"/>
  <c r="C124" i="13"/>
  <c r="C123" i="13"/>
  <c r="C97" i="13"/>
  <c r="C98" i="13"/>
  <c r="C109" i="13"/>
  <c r="C72" i="13"/>
  <c r="C70" i="13"/>
  <c r="C255" i="13" l="1"/>
  <c r="C257" i="13"/>
  <c r="C81" i="8" s="1"/>
  <c r="C72" i="8"/>
  <c r="C96" i="13"/>
  <c r="C68" i="8"/>
  <c r="AD28" i="14"/>
  <c r="AD29" i="14" s="1"/>
  <c r="AD31" i="14" s="1"/>
  <c r="AD32" i="14" s="1"/>
  <c r="AF30" i="14"/>
  <c r="G343" i="12" a="1"/>
  <c r="G322" i="12" a="1"/>
  <c r="G322" i="12" s="1"/>
  <c r="G301" i="12" a="1"/>
  <c r="G280" i="12" a="1"/>
  <c r="B258" i="3"/>
  <c r="B209" i="3"/>
  <c r="B248" i="3"/>
  <c r="C248" i="3"/>
  <c r="C28" i="8" s="1"/>
  <c r="B238" i="3"/>
  <c r="G117" i="12" a="1"/>
  <c r="G117" i="12" s="1"/>
  <c r="G259" i="12" a="1"/>
  <c r="G343" i="12" l="1"/>
  <c r="C238" i="3"/>
  <c r="G280" i="12"/>
  <c r="G301" i="12"/>
  <c r="G259" i="12"/>
  <c r="AE28" i="14"/>
  <c r="AE29" i="14" s="1"/>
  <c r="AE31" i="14" s="1"/>
  <c r="AE32" i="14" s="1"/>
  <c r="AG30" i="14"/>
  <c r="C258" i="3"/>
  <c r="C29" i="8" s="1"/>
  <c r="C255" i="3"/>
  <c r="C245" i="3"/>
  <c r="C256" i="3"/>
  <c r="C246" i="3"/>
  <c r="J210" i="13"/>
  <c r="J211" i="13"/>
  <c r="J209" i="13"/>
  <c r="J228" i="13"/>
  <c r="J227" i="13"/>
  <c r="J226" i="13"/>
  <c r="B287" i="3"/>
  <c r="B276" i="3"/>
  <c r="P127" i="4"/>
  <c r="P126" i="4"/>
  <c r="P125" i="4"/>
  <c r="J281" i="3"/>
  <c r="J282" i="3"/>
  <c r="J283" i="3"/>
  <c r="J284" i="3"/>
  <c r="J285" i="3"/>
  <c r="I280" i="3"/>
  <c r="I281" i="3"/>
  <c r="I282" i="3"/>
  <c r="I285" i="3"/>
  <c r="I284" i="3"/>
  <c r="I283" i="3"/>
  <c r="E16" i="8"/>
  <c r="E25" i="8"/>
  <c r="E24" i="8"/>
  <c r="E23" i="8"/>
  <c r="E22" i="8"/>
  <c r="E21" i="8"/>
  <c r="E20" i="8"/>
  <c r="E19" i="8"/>
  <c r="E18" i="8"/>
  <c r="E14" i="8"/>
  <c r="E15" i="8"/>
  <c r="E13" i="8"/>
  <c r="E9" i="8"/>
  <c r="B15" i="8"/>
  <c r="B16" i="8"/>
  <c r="B23" i="8"/>
  <c r="B22" i="8"/>
  <c r="B21" i="8"/>
  <c r="B20" i="8"/>
  <c r="B19" i="8"/>
  <c r="B18" i="8"/>
  <c r="B119" i="3"/>
  <c r="C27" i="8" l="1"/>
  <c r="I238" i="3"/>
  <c r="C94" i="8"/>
  <c r="C107" i="8"/>
  <c r="C96" i="8"/>
  <c r="C52" i="8"/>
  <c r="C39" i="8"/>
  <c r="C235" i="3"/>
  <c r="C236" i="3"/>
  <c r="C287" i="3"/>
  <c r="C32" i="8" s="1"/>
  <c r="C199" i="3"/>
  <c r="C16" i="8" s="1"/>
  <c r="AF28" i="14"/>
  <c r="AF29" i="14" s="1"/>
  <c r="AF31" i="14" s="1"/>
  <c r="AF32" i="14" s="1"/>
  <c r="AH30" i="14"/>
  <c r="C268" i="13"/>
  <c r="C75" i="3"/>
  <c r="C22" i="13"/>
  <c r="C62" i="8" s="1"/>
  <c r="K281" i="3"/>
  <c r="K283" i="3"/>
  <c r="J125" i="4"/>
  <c r="K125" i="4" s="1"/>
  <c r="J127" i="4"/>
  <c r="K127" i="4" s="1"/>
  <c r="J126" i="4"/>
  <c r="K126" i="4" s="1"/>
  <c r="K282" i="3"/>
  <c r="K280" i="3"/>
  <c r="K284" i="3"/>
  <c r="K285" i="3"/>
  <c r="C65" i="3"/>
  <c r="C112" i="3"/>
  <c r="C19" i="8" s="1"/>
  <c r="C119" i="3"/>
  <c r="C20" i="8" s="1"/>
  <c r="C139" i="3"/>
  <c r="C79" i="8" l="1"/>
  <c r="C82" i="8"/>
  <c r="C18" i="8"/>
  <c r="C129" i="3"/>
  <c r="C21" i="8" s="1"/>
  <c r="K287" i="3"/>
  <c r="I287" i="3" s="1"/>
  <c r="AG28" i="14"/>
  <c r="AG29" i="14" s="1"/>
  <c r="AG31" i="14" s="1"/>
  <c r="AG32" i="14" s="1"/>
  <c r="AI30" i="14"/>
  <c r="C189" i="3"/>
  <c r="D191" i="13" l="1"/>
  <c r="J191" i="13" s="1"/>
  <c r="D188" i="13"/>
  <c r="J188" i="13" s="1"/>
  <c r="D190" i="13"/>
  <c r="J190" i="13" s="1"/>
  <c r="D189" i="13"/>
  <c r="J189" i="13" s="1"/>
  <c r="D130" i="20"/>
  <c r="J130" i="20" s="1"/>
  <c r="D187" i="13"/>
  <c r="J187" i="13" s="1"/>
  <c r="D137" i="3"/>
  <c r="J137" i="3" s="1"/>
  <c r="D129" i="20"/>
  <c r="J129" i="20" s="1"/>
  <c r="D128" i="20"/>
  <c r="J128" i="20" s="1"/>
  <c r="D134" i="3"/>
  <c r="J134" i="3" s="1"/>
  <c r="D136" i="3"/>
  <c r="J136" i="3" s="1"/>
  <c r="D149" i="24"/>
  <c r="J149" i="24" s="1"/>
  <c r="D133" i="3"/>
  <c r="J133" i="3" s="1"/>
  <c r="D127" i="20"/>
  <c r="J127" i="20" s="1"/>
  <c r="D135" i="3"/>
  <c r="J135" i="3" s="1"/>
  <c r="D126" i="20"/>
  <c r="J126" i="20" s="1"/>
  <c r="D147" i="24"/>
  <c r="J147" i="24" s="1"/>
  <c r="D146" i="24"/>
  <c r="J146" i="24" s="1"/>
  <c r="D145" i="24"/>
  <c r="J145" i="24" s="1"/>
  <c r="D148" i="24"/>
  <c r="J148" i="24" s="1"/>
  <c r="D135" i="24"/>
  <c r="J135" i="24" s="1"/>
  <c r="D127" i="3"/>
  <c r="J127" i="3" s="1"/>
  <c r="D116" i="20"/>
  <c r="J116" i="20" s="1"/>
  <c r="D181" i="13"/>
  <c r="J181" i="13" s="1"/>
  <c r="D123" i="3"/>
  <c r="J123" i="3" s="1"/>
  <c r="D180" i="13"/>
  <c r="J180" i="13" s="1"/>
  <c r="D179" i="13"/>
  <c r="J179" i="13" s="1"/>
  <c r="D178" i="13"/>
  <c r="J178" i="13" s="1"/>
  <c r="D139" i="24"/>
  <c r="J139" i="24" s="1"/>
  <c r="D120" i="20"/>
  <c r="J120" i="20" s="1"/>
  <c r="D177" i="13"/>
  <c r="J177" i="13" s="1"/>
  <c r="D119" i="20"/>
  <c r="J119" i="20" s="1"/>
  <c r="D117" i="20"/>
  <c r="J117" i="20" s="1"/>
  <c r="D118" i="20"/>
  <c r="J118" i="20" s="1"/>
  <c r="D138" i="24"/>
  <c r="J138" i="24" s="1"/>
  <c r="D124" i="3"/>
  <c r="J124" i="3" s="1"/>
  <c r="D137" i="24"/>
  <c r="J137" i="24" s="1"/>
  <c r="D125" i="3"/>
  <c r="J125" i="3" s="1"/>
  <c r="D136" i="24"/>
  <c r="J136" i="24" s="1"/>
  <c r="D126" i="3"/>
  <c r="J126" i="3" s="1"/>
  <c r="C17" i="8"/>
  <c r="C206" i="3"/>
  <c r="AH28" i="14"/>
  <c r="AH29" i="14" s="1"/>
  <c r="AH31" i="14" s="1"/>
  <c r="AH32" i="14" s="1"/>
  <c r="AJ30" i="14"/>
  <c r="AJ31" i="14" s="1"/>
  <c r="AJ32" i="14" s="1"/>
  <c r="F32" i="8"/>
  <c r="D32" i="8"/>
  <c r="C25" i="8"/>
  <c r="AI28" i="14" l="1"/>
  <c r="AI29" i="14" s="1"/>
  <c r="AI31" i="14" s="1"/>
  <c r="AI32" i="14" s="1"/>
  <c r="AK30" i="14"/>
  <c r="C22" i="8"/>
  <c r="AL30" i="14" l="1"/>
  <c r="AK28" i="14" l="1"/>
  <c r="AK29" i="14" s="1"/>
  <c r="AK31" i="14" s="1"/>
  <c r="AK32" i="14" s="1"/>
  <c r="AM30" i="14"/>
  <c r="B139" i="3"/>
  <c r="B129" i="3"/>
  <c r="B112" i="3"/>
  <c r="B98" i="3"/>
  <c r="B65" i="3"/>
  <c r="B25" i="8"/>
  <c r="B24" i="8"/>
  <c r="C23" i="8" l="1"/>
  <c r="AL28" i="14"/>
  <c r="AL29" i="14" s="1"/>
  <c r="AL31" i="14" s="1"/>
  <c r="AL32" i="14" s="1"/>
  <c r="AM28" i="14" l="1"/>
  <c r="AM29" i="14" s="1"/>
  <c r="AM31" i="14" s="1"/>
  <c r="AM32" i="14" s="1"/>
  <c r="AO30" i="14"/>
  <c r="C24" i="8"/>
  <c r="B199" i="3"/>
  <c r="B189" i="3"/>
  <c r="B176" i="3"/>
  <c r="B159" i="3"/>
  <c r="B75" i="3"/>
  <c r="B58" i="3"/>
  <c r="C14" i="8"/>
  <c r="B13" i="8"/>
  <c r="C58" i="3"/>
  <c r="C21" i="3"/>
  <c r="C72" i="3"/>
  <c r="C73" i="3"/>
  <c r="B2" i="12"/>
  <c r="AP30" i="14" l="1"/>
  <c r="C13" i="8"/>
  <c r="C9" i="8"/>
  <c r="C15" i="8"/>
  <c r="B73" i="3"/>
  <c r="B72" i="3"/>
  <c r="B71" i="3"/>
  <c r="C310" i="3" l="1"/>
  <c r="D310" i="3" s="1"/>
  <c r="AO28" i="14"/>
  <c r="AO29" i="14" s="1"/>
  <c r="AO31" i="14" s="1"/>
  <c r="AO32" i="14" s="1"/>
  <c r="AQ30" i="14"/>
  <c r="AP28" i="14" l="1"/>
  <c r="AP29" i="14" s="1"/>
  <c r="AP31" i="14" s="1"/>
  <c r="AP32" i="14" s="1"/>
  <c r="AR30" i="14"/>
  <c r="AQ28" i="14" l="1"/>
  <c r="AQ29" i="14" s="1"/>
  <c r="AQ31" i="14" s="1"/>
  <c r="AQ32" i="14" s="1"/>
  <c r="AX30" i="14"/>
  <c r="AX31" i="14" s="1"/>
  <c r="AX32" i="14" s="1"/>
  <c r="AR28" i="14" l="1"/>
  <c r="AR29" i="14" s="1"/>
  <c r="AR31" i="14" s="1"/>
  <c r="AR32" i="14" s="1"/>
  <c r="AZ30" i="14" l="1"/>
  <c r="BA30" i="14" l="1"/>
  <c r="AZ28" i="14" l="1"/>
  <c r="AZ29" i="14" s="1"/>
  <c r="AZ31" i="14" s="1"/>
  <c r="AZ32" i="14" s="1"/>
  <c r="BB30" i="14"/>
  <c r="BA28" i="14" l="1"/>
  <c r="BA29" i="14" s="1"/>
  <c r="BA31" i="14" s="1"/>
  <c r="BA32" i="14" s="1"/>
  <c r="BC30" i="14"/>
  <c r="BB28" i="14" l="1"/>
  <c r="BB29" i="14" s="1"/>
  <c r="BB31" i="14" s="1"/>
  <c r="BB32" i="14" s="1"/>
  <c r="BD30" i="14"/>
  <c r="BC28" i="14" l="1"/>
  <c r="BC29" i="14" s="1"/>
  <c r="BC31" i="14" s="1"/>
  <c r="BC32" i="14" s="1"/>
  <c r="BD28" i="14" l="1"/>
  <c r="BD29" i="14" s="1"/>
  <c r="BD31" i="14" s="1"/>
  <c r="BD32" i="14" s="1"/>
  <c r="BM32" i="14" l="1"/>
  <c r="P27" i="4" l="1"/>
  <c r="P28" i="4"/>
  <c r="P31" i="4"/>
  <c r="P99" i="4"/>
  <c r="P58" i="4" l="1"/>
  <c r="C265" i="13"/>
  <c r="C266" i="13"/>
  <c r="C80" i="8"/>
  <c r="C196" i="3"/>
  <c r="P10" i="4"/>
  <c r="I339" i="13"/>
  <c r="P106" i="4"/>
  <c r="P89" i="4"/>
  <c r="P16" i="4"/>
  <c r="P17" i="4"/>
  <c r="P18" i="4"/>
  <c r="P19" i="4"/>
  <c r="P20" i="4"/>
  <c r="P21" i="4"/>
  <c r="P22" i="4"/>
  <c r="P23" i="4"/>
  <c r="P24" i="4"/>
  <c r="C164" i="20" l="1"/>
  <c r="C165" i="20" s="1"/>
  <c r="C183" i="24"/>
  <c r="C184" i="24" s="1"/>
  <c r="C225" i="13"/>
  <c r="C171" i="3"/>
  <c r="J58" i="4"/>
  <c r="K58" i="4" s="1"/>
  <c r="J10" i="4"/>
  <c r="K10" i="4" s="1"/>
  <c r="J24" i="4"/>
  <c r="K24" i="4" s="1"/>
  <c r="J23" i="4"/>
  <c r="K23" i="4" s="1"/>
  <c r="J16" i="4"/>
  <c r="K16" i="4" s="1"/>
  <c r="J89" i="4"/>
  <c r="K89" i="4" s="1"/>
  <c r="K339" i="13"/>
  <c r="J21" i="4"/>
  <c r="K21" i="4" s="1"/>
  <c r="J20" i="4"/>
  <c r="K20" i="4" s="1"/>
  <c r="J88" i="4"/>
  <c r="K88" i="4" s="1"/>
  <c r="J18" i="4"/>
  <c r="K18" i="4" s="1"/>
  <c r="J22" i="4"/>
  <c r="K22" i="4" s="1"/>
  <c r="J17" i="4"/>
  <c r="K17" i="4" s="1"/>
  <c r="J106" i="4"/>
  <c r="K106" i="4" s="1"/>
  <c r="J19" i="4"/>
  <c r="K19" i="4" s="1"/>
  <c r="P33" i="4"/>
  <c r="P5" i="4"/>
  <c r="P117" i="4"/>
  <c r="P26" i="4"/>
  <c r="P35" i="4"/>
  <c r="P36" i="4"/>
  <c r="P37" i="4"/>
  <c r="P40" i="4"/>
  <c r="P41" i="4"/>
  <c r="P42" i="4"/>
  <c r="P43" i="4"/>
  <c r="P44" i="4"/>
  <c r="P45" i="4"/>
  <c r="P46" i="4"/>
  <c r="P47" i="4"/>
  <c r="P48" i="4"/>
  <c r="P52" i="4"/>
  <c r="P53" i="4"/>
  <c r="P70" i="4"/>
  <c r="P71" i="4"/>
  <c r="P81" i="4"/>
  <c r="P65" i="4"/>
  <c r="P66" i="4"/>
  <c r="P55" i="4"/>
  <c r="P56" i="4"/>
  <c r="P68" i="4"/>
  <c r="P60" i="4"/>
  <c r="P61" i="4"/>
  <c r="P62" i="4"/>
  <c r="P63" i="4"/>
  <c r="P84" i="4"/>
  <c r="P85" i="4"/>
  <c r="P86" i="4"/>
  <c r="P87" i="4"/>
  <c r="P88" i="4"/>
  <c r="P93" i="4"/>
  <c r="P94" i="4"/>
  <c r="P95" i="4"/>
  <c r="P96" i="4"/>
  <c r="P97" i="4"/>
  <c r="P98" i="4"/>
  <c r="P109" i="4"/>
  <c r="P110" i="4"/>
  <c r="P111" i="4"/>
  <c r="P112" i="4"/>
  <c r="P113" i="4"/>
  <c r="P114" i="4"/>
  <c r="P115" i="4"/>
  <c r="P116" i="4"/>
  <c r="G84" i="13" l="1"/>
  <c r="I84" i="13" s="1"/>
  <c r="K84" i="13" s="1"/>
  <c r="G337" i="13"/>
  <c r="G69" i="13"/>
  <c r="G226" i="13"/>
  <c r="C226" i="13"/>
  <c r="J117" i="4"/>
  <c r="K117" i="4" s="1"/>
  <c r="G84" i="24" l="1"/>
  <c r="I84" i="24" s="1"/>
  <c r="K84" i="24" s="1"/>
  <c r="G123" i="13"/>
  <c r="I266" i="24"/>
  <c r="K266" i="24" s="1"/>
  <c r="I246" i="24"/>
  <c r="K246" i="24" s="1"/>
  <c r="G165" i="20"/>
  <c r="I165" i="20" s="1"/>
  <c r="K165" i="20" s="1"/>
  <c r="G184" i="24"/>
  <c r="I184" i="24" s="1"/>
  <c r="K184" i="24" s="1"/>
  <c r="I256" i="24"/>
  <c r="K256" i="24" s="1"/>
  <c r="G208" i="24"/>
  <c r="I208" i="24" s="1"/>
  <c r="K208" i="24" s="1"/>
  <c r="G217" i="24"/>
  <c r="I217" i="24" s="1"/>
  <c r="K217" i="24" s="1"/>
  <c r="G257" i="24"/>
  <c r="I257" i="24" s="1"/>
  <c r="K257" i="24" s="1"/>
  <c r="G247" i="24"/>
  <c r="I247" i="24" s="1"/>
  <c r="K247" i="24" s="1"/>
  <c r="G218" i="24"/>
  <c r="I218" i="24" s="1"/>
  <c r="K218" i="24" s="1"/>
  <c r="G267" i="24"/>
  <c r="I267" i="24" s="1"/>
  <c r="K267" i="24" s="1"/>
  <c r="G85" i="24"/>
  <c r="I85" i="24" s="1"/>
  <c r="K85" i="24" s="1"/>
  <c r="G149" i="20"/>
  <c r="I149" i="20" s="1"/>
  <c r="G168" i="24"/>
  <c r="I168" i="24" s="1"/>
  <c r="K168" i="24" s="1"/>
  <c r="G124" i="13"/>
  <c r="I124" i="13" s="1"/>
  <c r="K124" i="13" s="1"/>
  <c r="G109" i="13"/>
  <c r="I109" i="13" s="1"/>
  <c r="K109" i="13" s="1"/>
  <c r="I245" i="3"/>
  <c r="K245" i="3" s="1"/>
  <c r="I218" i="20"/>
  <c r="K218" i="20" s="1"/>
  <c r="I206" i="3"/>
  <c r="K206" i="3" s="1"/>
  <c r="G209" i="20"/>
  <c r="I209" i="20" s="1"/>
  <c r="K209" i="20" s="1"/>
  <c r="G229" i="20"/>
  <c r="I229" i="20" s="1"/>
  <c r="K229" i="20" s="1"/>
  <c r="G219" i="20"/>
  <c r="I219" i="20" s="1"/>
  <c r="K219" i="20" s="1"/>
  <c r="I228" i="20"/>
  <c r="K228" i="20" s="1"/>
  <c r="I196" i="3"/>
  <c r="K196" i="3" s="1"/>
  <c r="I208" i="20"/>
  <c r="K208" i="20" s="1"/>
  <c r="I275" i="13"/>
  <c r="K275" i="13" s="1"/>
  <c r="G97" i="13"/>
  <c r="I97" i="13" s="1"/>
  <c r="K97" i="13" s="1"/>
  <c r="I123" i="13"/>
  <c r="K123" i="13" s="1"/>
  <c r="I69" i="13"/>
  <c r="K69" i="13" s="1"/>
  <c r="G110" i="13"/>
  <c r="I110" i="13" s="1"/>
  <c r="K110" i="13" s="1"/>
  <c r="G70" i="13"/>
  <c r="I70" i="13" s="1"/>
  <c r="K70" i="13" s="1"/>
  <c r="I265" i="13"/>
  <c r="K265" i="13" s="1"/>
  <c r="I235" i="3"/>
  <c r="K235" i="3" s="1"/>
  <c r="I285" i="13"/>
  <c r="K285" i="13" s="1"/>
  <c r="G255" i="3"/>
  <c r="I255" i="3" s="1"/>
  <c r="K255" i="3" s="1"/>
  <c r="G85" i="13"/>
  <c r="I85" i="13" s="1"/>
  <c r="K85" i="13" s="1"/>
  <c r="G276" i="13"/>
  <c r="I276" i="13" s="1"/>
  <c r="K276" i="13" s="1"/>
  <c r="G286" i="13"/>
  <c r="I286" i="13" s="1"/>
  <c r="K286" i="13" s="1"/>
  <c r="G98" i="13"/>
  <c r="I98" i="13" s="1"/>
  <c r="K98" i="13" s="1"/>
  <c r="G246" i="3"/>
  <c r="I246" i="3" s="1"/>
  <c r="K246" i="3" s="1"/>
  <c r="G256" i="3"/>
  <c r="I256" i="3" s="1"/>
  <c r="K256" i="3" s="1"/>
  <c r="G207" i="3"/>
  <c r="I207" i="3" s="1"/>
  <c r="G236" i="3"/>
  <c r="I236" i="3" s="1"/>
  <c r="K236" i="3" s="1"/>
  <c r="I226" i="13"/>
  <c r="K226" i="13" s="1"/>
  <c r="G156" i="3"/>
  <c r="I156" i="3" s="1"/>
  <c r="G266" i="13"/>
  <c r="I266" i="13" s="1"/>
  <c r="K266" i="13" s="1"/>
  <c r="G172" i="3"/>
  <c r="I172" i="3" s="1"/>
  <c r="G197" i="3"/>
  <c r="I197" i="3" s="1"/>
  <c r="G126" i="13" l="1"/>
  <c r="I126" i="13" s="1"/>
  <c r="K126" i="13" s="1"/>
  <c r="H7" i="9"/>
  <c r="B2" i="14"/>
  <c r="G35" i="20" l="1"/>
  <c r="I35" i="20" s="1"/>
  <c r="K35" i="20" s="1"/>
  <c r="G45" i="20"/>
  <c r="G52" i="20"/>
  <c r="I52" i="20" s="1"/>
  <c r="K52" i="20" s="1"/>
  <c r="G37" i="20"/>
  <c r="I37" i="20" s="1"/>
  <c r="K37" i="20" s="1"/>
  <c r="G36" i="20"/>
  <c r="G186" i="24"/>
  <c r="I186" i="24" s="1"/>
  <c r="K186" i="24" s="1"/>
  <c r="G167" i="20"/>
  <c r="I167" i="20" s="1"/>
  <c r="K167" i="20" s="1"/>
  <c r="G27" i="13"/>
  <c r="G79" i="13"/>
  <c r="I79" i="13" s="1"/>
  <c r="K79" i="13" s="1"/>
  <c r="G104" i="13"/>
  <c r="G78" i="13"/>
  <c r="G72" i="3"/>
  <c r="I72" i="3" s="1"/>
  <c r="K72" i="3" s="1"/>
  <c r="G174" i="3"/>
  <c r="G241" i="13"/>
  <c r="G26" i="13" l="1"/>
  <c r="G34" i="24"/>
  <c r="G33" i="3"/>
  <c r="G32" i="3"/>
  <c r="I32" i="3" s="1"/>
  <c r="K32" i="3" s="1"/>
  <c r="G33" i="24"/>
  <c r="G26" i="24"/>
  <c r="G25" i="3"/>
  <c r="G28" i="3"/>
  <c r="I28" i="3" s="1"/>
  <c r="K28" i="3" s="1"/>
  <c r="G27" i="3"/>
  <c r="I27" i="3" s="1"/>
  <c r="K27" i="3" s="1"/>
  <c r="G27" i="24"/>
  <c r="I27" i="24" s="1"/>
  <c r="K27" i="24" s="1"/>
  <c r="G26" i="3"/>
  <c r="I26" i="3" s="1"/>
  <c r="K26" i="3" s="1"/>
  <c r="G31" i="24"/>
  <c r="I31" i="24" s="1"/>
  <c r="K31" i="24" s="1"/>
  <c r="G30" i="3"/>
  <c r="I30" i="3" s="1"/>
  <c r="K30" i="3" s="1"/>
  <c r="G30" i="24"/>
  <c r="G29" i="3"/>
  <c r="I29" i="3" s="1"/>
  <c r="K29" i="3" s="1"/>
  <c r="G29" i="24"/>
  <c r="I29" i="24" s="1"/>
  <c r="K29" i="24" s="1"/>
  <c r="G28" i="24"/>
  <c r="G271" i="3"/>
  <c r="I271" i="3" s="1"/>
  <c r="K271" i="3" s="1"/>
  <c r="G270" i="3"/>
  <c r="I270" i="3" s="1"/>
  <c r="K270" i="3" s="1"/>
  <c r="G302" i="13"/>
  <c r="I302" i="13" s="1"/>
  <c r="K302" i="13" s="1"/>
  <c r="G301" i="13"/>
  <c r="I301" i="13" s="1"/>
  <c r="K301" i="13" s="1"/>
  <c r="I243" i="20"/>
  <c r="K243" i="20" s="1"/>
  <c r="I244" i="20"/>
  <c r="K244" i="20" s="1"/>
  <c r="G35" i="24"/>
  <c r="I35" i="24" s="1"/>
  <c r="K35" i="24" s="1"/>
  <c r="I282" i="24"/>
  <c r="K282" i="24" s="1"/>
  <c r="I281" i="24"/>
  <c r="K281" i="24" s="1"/>
  <c r="G38" i="24"/>
  <c r="I38" i="24" s="1"/>
  <c r="K38" i="24" s="1"/>
  <c r="G36" i="24"/>
  <c r="I36" i="24" s="1"/>
  <c r="K36" i="24" s="1"/>
  <c r="G37" i="24"/>
  <c r="I37" i="24" s="1"/>
  <c r="K37" i="24" s="1"/>
  <c r="G119" i="13"/>
  <c r="G35" i="3"/>
  <c r="I35" i="3" s="1"/>
  <c r="K35" i="3" s="1"/>
  <c r="G36" i="3"/>
  <c r="I36" i="3" s="1"/>
  <c r="K36" i="3" s="1"/>
  <c r="G37" i="3"/>
  <c r="I37" i="3" s="1"/>
  <c r="K37" i="3" s="1"/>
  <c r="G33" i="13"/>
  <c r="I33" i="13" s="1"/>
  <c r="K33" i="13" s="1"/>
  <c r="G34" i="13"/>
  <c r="I34" i="13" s="1"/>
  <c r="K34" i="13" s="1"/>
  <c r="G31" i="13"/>
  <c r="I31" i="13" s="1"/>
  <c r="K31" i="13" s="1"/>
  <c r="G32" i="13"/>
  <c r="I32" i="13" s="1"/>
  <c r="K32" i="13" s="1"/>
  <c r="G34" i="3"/>
  <c r="I34" i="3" s="1"/>
  <c r="K34" i="3" s="1"/>
  <c r="G92" i="13"/>
  <c r="I92" i="13" s="1"/>
  <c r="K92" i="13" s="1"/>
  <c r="I104" i="13"/>
  <c r="K104" i="13" s="1"/>
  <c r="I78" i="13"/>
  <c r="K78" i="13" s="1"/>
  <c r="I304" i="13"/>
  <c r="K304" i="13" s="1"/>
  <c r="I273" i="3"/>
  <c r="K273" i="3" s="1"/>
  <c r="I274" i="3"/>
  <c r="K274" i="3" s="1"/>
  <c r="I272" i="3"/>
  <c r="K272" i="3" s="1"/>
  <c r="I305" i="13"/>
  <c r="K305" i="13" s="1"/>
  <c r="I303" i="13"/>
  <c r="K303" i="13" s="1"/>
  <c r="I174" i="3"/>
  <c r="G228" i="13"/>
  <c r="I228" i="13" s="1"/>
  <c r="K228" i="13" s="1"/>
  <c r="G66" i="13" l="1"/>
  <c r="I66" i="13" s="1"/>
  <c r="K66" i="13" s="1"/>
  <c r="G21" i="20"/>
  <c r="I21" i="20" s="1"/>
  <c r="K21" i="20" s="1"/>
  <c r="G20" i="20"/>
  <c r="I20" i="20" s="1"/>
  <c r="K20" i="20" s="1"/>
  <c r="G31" i="3"/>
  <c r="I31" i="3" s="1"/>
  <c r="K31" i="3" s="1"/>
  <c r="G32" i="24"/>
  <c r="I32" i="24" s="1"/>
  <c r="K32" i="24" s="1"/>
  <c r="G300" i="13"/>
  <c r="I300" i="13" s="1"/>
  <c r="K300" i="13" s="1"/>
  <c r="K307" i="13" s="1"/>
  <c r="G19" i="13"/>
  <c r="I19" i="13" s="1"/>
  <c r="K19" i="13" s="1"/>
  <c r="G20" i="24"/>
  <c r="I20" i="24" s="1"/>
  <c r="K20" i="24" s="1"/>
  <c r="G19" i="3"/>
  <c r="I19" i="3" s="1"/>
  <c r="K19" i="3" s="1"/>
  <c r="G20" i="13"/>
  <c r="I20" i="13" s="1"/>
  <c r="K20" i="13" s="1"/>
  <c r="K287" i="24"/>
  <c r="G28" i="13"/>
  <c r="I30" i="24"/>
  <c r="K30" i="24" s="1"/>
  <c r="I33" i="24"/>
  <c r="K33" i="24" s="1"/>
  <c r="I34" i="24"/>
  <c r="K34" i="24" s="1"/>
  <c r="I28" i="24"/>
  <c r="K28" i="24" s="1"/>
  <c r="K276" i="3"/>
  <c r="I276" i="3" s="1"/>
  <c r="D31" i="8" s="1"/>
  <c r="I27" i="13"/>
  <c r="K27" i="13" s="1"/>
  <c r="G29" i="13"/>
  <c r="I29" i="13" s="1"/>
  <c r="K29" i="13" s="1"/>
  <c r="K249" i="20"/>
  <c r="F186" i="8" s="1"/>
  <c r="G30" i="13"/>
  <c r="G96" i="13"/>
  <c r="I337" i="13"/>
  <c r="K23" i="20" l="1"/>
  <c r="F167" i="8" s="1"/>
  <c r="I308" i="13"/>
  <c r="I307" i="13"/>
  <c r="G18" i="3"/>
  <c r="I18" i="3" s="1"/>
  <c r="K18" i="3" s="1"/>
  <c r="K21" i="3" s="1"/>
  <c r="G18" i="13"/>
  <c r="I18" i="13" s="1"/>
  <c r="K18" i="13" s="1"/>
  <c r="K22" i="13" s="1"/>
  <c r="G19" i="24"/>
  <c r="I19" i="24" s="1"/>
  <c r="K19" i="24" s="1"/>
  <c r="K22" i="24" s="1"/>
  <c r="I287" i="24"/>
  <c r="D138" i="8" s="1"/>
  <c r="F138" i="8"/>
  <c r="G180" i="20"/>
  <c r="I180" i="20" s="1"/>
  <c r="K180" i="20" s="1"/>
  <c r="K182" i="20" s="1"/>
  <c r="G199" i="24"/>
  <c r="I199" i="24" s="1"/>
  <c r="K199" i="24" s="1"/>
  <c r="K201" i="24" s="1"/>
  <c r="I26" i="24"/>
  <c r="K26" i="24" s="1"/>
  <c r="K40" i="24" s="1"/>
  <c r="F117" i="8" s="1"/>
  <c r="C78" i="8"/>
  <c r="G187" i="3"/>
  <c r="I187" i="3" s="1"/>
  <c r="K187" i="3" s="1"/>
  <c r="I241" i="13"/>
  <c r="K241" i="13" s="1"/>
  <c r="K243" i="13" s="1"/>
  <c r="F80" i="8" s="1"/>
  <c r="I249" i="20"/>
  <c r="D186" i="8" s="1"/>
  <c r="I23" i="20"/>
  <c r="D167" i="8" s="1"/>
  <c r="G83" i="13"/>
  <c r="F31" i="8"/>
  <c r="K337" i="13"/>
  <c r="B2" i="13"/>
  <c r="P73" i="4"/>
  <c r="P74" i="4"/>
  <c r="P75" i="4"/>
  <c r="P76" i="4"/>
  <c r="P77" i="4"/>
  <c r="P78" i="4"/>
  <c r="K110" i="4"/>
  <c r="I21" i="3" l="1"/>
  <c r="D9" i="8" s="1"/>
  <c r="G332" i="24"/>
  <c r="I332" i="24" s="1"/>
  <c r="K332" i="24" s="1"/>
  <c r="G322" i="3"/>
  <c r="I322" i="3" s="1"/>
  <c r="K322" i="3" s="1"/>
  <c r="G315" i="3"/>
  <c r="I315" i="3" s="1"/>
  <c r="K315" i="3" s="1"/>
  <c r="G317" i="3"/>
  <c r="I317" i="3" s="1"/>
  <c r="K317" i="3" s="1"/>
  <c r="G328" i="24"/>
  <c r="I328" i="24" s="1"/>
  <c r="K328" i="24" s="1"/>
  <c r="G329" i="24"/>
  <c r="I329" i="24" s="1"/>
  <c r="K329" i="24" s="1"/>
  <c r="G316" i="3"/>
  <c r="I316" i="3" s="1"/>
  <c r="K316" i="3" s="1"/>
  <c r="G334" i="24"/>
  <c r="I334" i="24" s="1"/>
  <c r="K334" i="24" s="1"/>
  <c r="G319" i="3"/>
  <c r="I319" i="3" s="1"/>
  <c r="K319" i="3" s="1"/>
  <c r="G320" i="3"/>
  <c r="I320" i="3" s="1"/>
  <c r="K320" i="3" s="1"/>
  <c r="G330" i="24"/>
  <c r="I330" i="24" s="1"/>
  <c r="K330" i="24" s="1"/>
  <c r="G323" i="3"/>
  <c r="I323" i="3" s="1"/>
  <c r="K323" i="3" s="1"/>
  <c r="G321" i="3"/>
  <c r="I321" i="3" s="1"/>
  <c r="K321" i="3" s="1"/>
  <c r="G331" i="24"/>
  <c r="I331" i="24" s="1"/>
  <c r="K331" i="24" s="1"/>
  <c r="G333" i="24"/>
  <c r="I333" i="24" s="1"/>
  <c r="K333" i="24" s="1"/>
  <c r="G318" i="3"/>
  <c r="I318" i="3" s="1"/>
  <c r="K318" i="3" s="1"/>
  <c r="I22" i="13"/>
  <c r="D62" i="8" s="1"/>
  <c r="F86" i="8"/>
  <c r="D86" i="8"/>
  <c r="C209" i="13"/>
  <c r="C210" i="13" s="1"/>
  <c r="G346" i="13"/>
  <c r="I346" i="13" s="1"/>
  <c r="K346" i="13" s="1"/>
  <c r="F62" i="8"/>
  <c r="G345" i="13"/>
  <c r="I345" i="13" s="1"/>
  <c r="K345" i="13" s="1"/>
  <c r="F9" i="8"/>
  <c r="I22" i="24"/>
  <c r="D116" i="8" s="1"/>
  <c r="F116" i="8"/>
  <c r="I182" i="20"/>
  <c r="D180" i="8" s="1"/>
  <c r="F180" i="8"/>
  <c r="I201" i="24"/>
  <c r="D130" i="8" s="1"/>
  <c r="F130" i="8"/>
  <c r="I313" i="24"/>
  <c r="K313" i="24" s="1"/>
  <c r="G336" i="24"/>
  <c r="I336" i="24" s="1"/>
  <c r="K336" i="24" s="1"/>
  <c r="G327" i="24"/>
  <c r="I327" i="24" s="1"/>
  <c r="K327" i="24" s="1"/>
  <c r="G326" i="24"/>
  <c r="I326" i="24" s="1"/>
  <c r="K326" i="24" s="1"/>
  <c r="G325" i="24"/>
  <c r="I325" i="24" s="1"/>
  <c r="K325" i="24" s="1"/>
  <c r="I40" i="24"/>
  <c r="D117" i="8" s="1"/>
  <c r="G337" i="24"/>
  <c r="I337" i="24" s="1"/>
  <c r="K337" i="24" s="1"/>
  <c r="G335" i="24"/>
  <c r="I335" i="24" s="1"/>
  <c r="K335" i="24" s="1"/>
  <c r="I314" i="24"/>
  <c r="K314" i="24" s="1"/>
  <c r="G349" i="13"/>
  <c r="I349" i="13" s="1"/>
  <c r="K349" i="13" s="1"/>
  <c r="G324" i="3"/>
  <c r="I324" i="3" s="1"/>
  <c r="K324" i="3" s="1"/>
  <c r="G326" i="3"/>
  <c r="I326" i="3" s="1"/>
  <c r="K326" i="3" s="1"/>
  <c r="G348" i="13"/>
  <c r="I348" i="13" s="1"/>
  <c r="K348" i="13" s="1"/>
  <c r="G351" i="13"/>
  <c r="I351" i="13" s="1"/>
  <c r="K351" i="13" s="1"/>
  <c r="G344" i="13"/>
  <c r="I344" i="13" s="1"/>
  <c r="G347" i="13"/>
  <c r="I347" i="13" s="1"/>
  <c r="K347" i="13" s="1"/>
  <c r="G350" i="13"/>
  <c r="I350" i="13" s="1"/>
  <c r="K350" i="13" s="1"/>
  <c r="G327" i="3"/>
  <c r="I327" i="3" s="1"/>
  <c r="K327" i="3" s="1"/>
  <c r="G352" i="13"/>
  <c r="I352" i="13" s="1"/>
  <c r="K352" i="13" s="1"/>
  <c r="G325" i="3"/>
  <c r="I325" i="3" s="1"/>
  <c r="K325" i="3" s="1"/>
  <c r="I276" i="20"/>
  <c r="I275" i="20"/>
  <c r="I243" i="13"/>
  <c r="D80" i="8" s="1"/>
  <c r="G335" i="13"/>
  <c r="I335" i="13" s="1"/>
  <c r="K335" i="13" s="1"/>
  <c r="G334" i="13"/>
  <c r="I334" i="13" s="1"/>
  <c r="K334" i="13" s="1"/>
  <c r="K189" i="3"/>
  <c r="I189" i="3" s="1"/>
  <c r="G310" i="3"/>
  <c r="J45" i="4"/>
  <c r="K45" i="4" s="1"/>
  <c r="J65" i="4"/>
  <c r="K65" i="4" s="1"/>
  <c r="J35" i="4"/>
  <c r="K35" i="4" s="1"/>
  <c r="J63" i="4"/>
  <c r="K63" i="4" s="1"/>
  <c r="J74" i="4"/>
  <c r="K74" i="4" s="1"/>
  <c r="J36" i="4"/>
  <c r="K36" i="4" s="1"/>
  <c r="J87" i="4"/>
  <c r="K87" i="4" s="1"/>
  <c r="J112" i="4"/>
  <c r="K112" i="4" s="1"/>
  <c r="J94" i="4"/>
  <c r="K94" i="4" s="1"/>
  <c r="J66" i="4"/>
  <c r="K66" i="4" s="1"/>
  <c r="J75" i="4"/>
  <c r="K75" i="4" s="1"/>
  <c r="J47" i="4"/>
  <c r="K47" i="4" s="1"/>
  <c r="J37" i="4"/>
  <c r="K37" i="4" s="1"/>
  <c r="J60" i="4"/>
  <c r="K60" i="4" s="1"/>
  <c r="J46" i="4"/>
  <c r="K46" i="4" s="1"/>
  <c r="J26" i="4"/>
  <c r="K26" i="4" s="1"/>
  <c r="K174" i="3"/>
  <c r="J73" i="4"/>
  <c r="K73" i="4" s="1"/>
  <c r="J61" i="4"/>
  <c r="K61" i="4" s="1"/>
  <c r="J55" i="4"/>
  <c r="K55" i="4" s="1"/>
  <c r="J56" i="4"/>
  <c r="K56" i="4" s="1"/>
  <c r="J97" i="4"/>
  <c r="K97" i="4" s="1"/>
  <c r="J93" i="4"/>
  <c r="K93" i="4" s="1"/>
  <c r="J68" i="4"/>
  <c r="K68" i="4" s="1"/>
  <c r="J111" i="4"/>
  <c r="K111" i="4" s="1"/>
  <c r="J116" i="4"/>
  <c r="K116" i="4" s="1"/>
  <c r="J62" i="4"/>
  <c r="K62" i="4" s="1"/>
  <c r="J77" i="4"/>
  <c r="K77" i="4" s="1"/>
  <c r="J52" i="4"/>
  <c r="K52" i="4" s="1"/>
  <c r="J41" i="4"/>
  <c r="K41" i="4" s="1"/>
  <c r="J110" i="4"/>
  <c r="J84" i="4"/>
  <c r="K84" i="4" s="1"/>
  <c r="J81" i="4"/>
  <c r="K81" i="4" s="1"/>
  <c r="J115" i="4"/>
  <c r="K115" i="4" s="1"/>
  <c r="J85" i="4"/>
  <c r="K85" i="4" s="1"/>
  <c r="J44" i="4"/>
  <c r="K44" i="4" s="1"/>
  <c r="J33" i="4"/>
  <c r="K33" i="4" s="1"/>
  <c r="J70" i="4"/>
  <c r="K70" i="4" s="1"/>
  <c r="J43" i="4"/>
  <c r="K43" i="4" s="1"/>
  <c r="J114" i="4"/>
  <c r="K114" i="4" s="1"/>
  <c r="J96" i="4"/>
  <c r="K96" i="4" s="1"/>
  <c r="J78" i="4"/>
  <c r="K78" i="4" s="1"/>
  <c r="J53" i="4"/>
  <c r="K53" i="4" s="1"/>
  <c r="J42" i="4"/>
  <c r="K42" i="4" s="1"/>
  <c r="J71" i="4"/>
  <c r="K71" i="4" s="1"/>
  <c r="J76" i="4"/>
  <c r="K76" i="4" s="1"/>
  <c r="J48" i="4"/>
  <c r="K48" i="4" s="1"/>
  <c r="J40" i="4"/>
  <c r="K40" i="4" s="1"/>
  <c r="J109" i="4"/>
  <c r="K109" i="4" s="1"/>
  <c r="J95" i="4"/>
  <c r="K95" i="4" s="1"/>
  <c r="J98" i="4"/>
  <c r="K98" i="4" s="1"/>
  <c r="J86" i="4"/>
  <c r="K86" i="4" s="1"/>
  <c r="J113" i="4"/>
  <c r="K113" i="4" s="1"/>
  <c r="I336" i="13"/>
  <c r="K336" i="13" s="1"/>
  <c r="G210" i="13"/>
  <c r="I210" i="13" s="1"/>
  <c r="I312" i="24" l="1"/>
  <c r="K312" i="24" s="1"/>
  <c r="K322" i="24" s="1"/>
  <c r="F152" i="8" s="1"/>
  <c r="G338" i="13"/>
  <c r="I338" i="13" s="1"/>
  <c r="K338" i="13" s="1"/>
  <c r="K339" i="24"/>
  <c r="I274" i="20"/>
  <c r="C172" i="3"/>
  <c r="K172" i="3" s="1"/>
  <c r="K284" i="20"/>
  <c r="K329" i="3"/>
  <c r="I310" i="3"/>
  <c r="K310" i="3" s="1"/>
  <c r="K312" i="3" s="1"/>
  <c r="I312" i="3" s="1"/>
  <c r="G333" i="13"/>
  <c r="I333" i="13" s="1"/>
  <c r="K333" i="13" s="1"/>
  <c r="K156" i="3"/>
  <c r="K210" i="13"/>
  <c r="I329" i="3" l="1"/>
  <c r="D48" i="8" s="1"/>
  <c r="F201" i="8"/>
  <c r="K4" i="20"/>
  <c r="F48" i="8"/>
  <c r="I322" i="24"/>
  <c r="D152" i="8" s="1"/>
  <c r="I284" i="20"/>
  <c r="D201" i="8" s="1"/>
  <c r="D47" i="8"/>
  <c r="F47" i="8"/>
  <c r="K341" i="13"/>
  <c r="I341" i="13" s="1"/>
  <c r="F101" i="8" l="1"/>
  <c r="F103" i="8"/>
  <c r="I132" i="20" l="1"/>
  <c r="D177" i="8" s="1"/>
  <c r="D77" i="8"/>
  <c r="I26" i="13" l="1"/>
  <c r="K26" i="13" s="1"/>
  <c r="I28" i="13" l="1"/>
  <c r="K28" i="13" s="1"/>
  <c r="I33" i="3"/>
  <c r="K33" i="3" s="1"/>
  <c r="I25" i="3"/>
  <c r="K25" i="3" s="1"/>
  <c r="I30" i="13"/>
  <c r="K30" i="13" s="1"/>
  <c r="B14" i="8"/>
  <c r="B9" i="8"/>
  <c r="B8" i="8"/>
  <c r="G301" i="3"/>
  <c r="I301" i="3" s="1"/>
  <c r="G302" i="3"/>
  <c r="I302" i="3" s="1"/>
  <c r="G303" i="3"/>
  <c r="I303" i="3" s="1"/>
  <c r="G304" i="3"/>
  <c r="I304" i="3" s="1"/>
  <c r="I305" i="3"/>
  <c r="B300" i="3" a="1"/>
  <c r="A13" i="9"/>
  <c r="C71" i="3"/>
  <c r="C303" i="3" l="1"/>
  <c r="C305" i="3"/>
  <c r="C302" i="3"/>
  <c r="C304" i="3"/>
  <c r="C301" i="3"/>
  <c r="B215" i="8"/>
  <c r="B229" i="8"/>
  <c r="B222" i="8"/>
  <c r="K36" i="13"/>
  <c r="K39" i="3"/>
  <c r="B300" i="3"/>
  <c r="D300" i="3" s="1"/>
  <c r="F63" i="8" l="1"/>
  <c r="D301" i="3"/>
  <c r="K301" i="3" s="1"/>
  <c r="D305" i="3"/>
  <c r="D302" i="3"/>
  <c r="K302" i="3" s="1"/>
  <c r="D304" i="3"/>
  <c r="K304" i="3" s="1"/>
  <c r="D303" i="3"/>
  <c r="K303" i="3" s="1"/>
  <c r="I39" i="3"/>
  <c r="D10" i="8" s="1"/>
  <c r="I36" i="13"/>
  <c r="C300" i="3"/>
  <c r="F10" i="8"/>
  <c r="D63" i="8" l="1"/>
  <c r="K305" i="3"/>
  <c r="K307" i="3" s="1"/>
  <c r="K4" i="3" s="1"/>
  <c r="G224" i="3" l="1"/>
  <c r="I224" i="3" s="1"/>
  <c r="K224" i="3" s="1"/>
  <c r="G254" i="13"/>
  <c r="I254" i="13" s="1"/>
  <c r="K254" i="13" s="1"/>
  <c r="F46" i="8"/>
  <c r="F45" i="8" s="1"/>
  <c r="F222" i="8" s="1"/>
  <c r="I307" i="3"/>
  <c r="D46" i="8" s="1"/>
  <c r="G197" i="20"/>
  <c r="I197" i="20" s="1"/>
  <c r="K197" i="20" s="1"/>
  <c r="G235" i="24"/>
  <c r="I235" i="24" s="1"/>
  <c r="K235" i="24" s="1"/>
  <c r="C194" i="3"/>
  <c r="C195" i="3" s="1"/>
  <c r="C204" i="3"/>
  <c r="C205" i="3" s="1"/>
  <c r="C70" i="3"/>
  <c r="G234" i="24" l="1"/>
  <c r="I234" i="24" s="1"/>
  <c r="K234" i="24" s="1"/>
  <c r="G196" i="20"/>
  <c r="I196" i="20" s="1"/>
  <c r="K196" i="20" s="1"/>
  <c r="G236" i="24"/>
  <c r="I236" i="24" s="1"/>
  <c r="K236" i="24" s="1"/>
  <c r="F57" i="8"/>
  <c r="G198" i="20"/>
  <c r="I198" i="20" s="1"/>
  <c r="K198" i="20" s="1"/>
  <c r="I83" i="13"/>
  <c r="I96" i="13"/>
  <c r="K96" i="13" s="1"/>
  <c r="K100" i="13" s="1"/>
  <c r="F70" i="8" s="1"/>
  <c r="K238" i="24" l="1"/>
  <c r="F133" i="8" s="1"/>
  <c r="G253" i="13"/>
  <c r="I253" i="13" s="1"/>
  <c r="K253" i="13" s="1"/>
  <c r="G223" i="3"/>
  <c r="I223" i="3" s="1"/>
  <c r="K223" i="3" s="1"/>
  <c r="K200" i="20"/>
  <c r="G255" i="13"/>
  <c r="I255" i="13" s="1"/>
  <c r="K255" i="13" s="1"/>
  <c r="G225" i="3"/>
  <c r="I225" i="3" s="1"/>
  <c r="K225" i="3" s="1"/>
  <c r="D133" i="8"/>
  <c r="D181" i="8"/>
  <c r="I100" i="13"/>
  <c r="D70" i="8" s="1"/>
  <c r="K83" i="13"/>
  <c r="K87" i="13" s="1"/>
  <c r="F69" i="8" s="1"/>
  <c r="K227" i="3" l="1"/>
  <c r="I227" i="3" s="1"/>
  <c r="I228" i="3" s="1"/>
  <c r="F181" i="8"/>
  <c r="K257" i="13"/>
  <c r="I257" i="13" s="1"/>
  <c r="I258" i="13" s="1"/>
  <c r="G195" i="3"/>
  <c r="G70" i="3"/>
  <c r="I70" i="3" s="1"/>
  <c r="K70" i="3" s="1"/>
  <c r="G205" i="3"/>
  <c r="I205" i="3" s="1"/>
  <c r="K205" i="3" s="1"/>
  <c r="I87" i="13"/>
  <c r="D69" i="8" s="1"/>
  <c r="I112" i="13"/>
  <c r="D71" i="8" s="1"/>
  <c r="F26" i="8" l="1"/>
  <c r="D26" i="8"/>
  <c r="F81" i="8"/>
  <c r="D81" i="8"/>
  <c r="G115" i="24" a="1"/>
  <c r="G115" i="24" s="1"/>
  <c r="I115" i="24" s="1"/>
  <c r="K115" i="24" s="1"/>
  <c r="G116" i="24" a="1"/>
  <c r="G116" i="24" s="1"/>
  <c r="I116" i="24" s="1"/>
  <c r="K116" i="24" s="1"/>
  <c r="G156" i="13" a="1"/>
  <c r="G156" i="13" s="1"/>
  <c r="I156" i="13" s="1"/>
  <c r="K156" i="13" s="1"/>
  <c r="G97" i="20" a="1"/>
  <c r="G97" i="20" s="1"/>
  <c r="I97" i="20" s="1"/>
  <c r="K97" i="20" s="1"/>
  <c r="G96" i="20" a="1"/>
  <c r="G96" i="20" s="1"/>
  <c r="I96" i="20" s="1"/>
  <c r="K96" i="20" s="1"/>
  <c r="G157" i="13" a="1"/>
  <c r="G157" i="13" s="1"/>
  <c r="I157" i="13" s="1"/>
  <c r="K157" i="13" s="1"/>
  <c r="G103" i="3" a="1"/>
  <c r="G103" i="3" s="1"/>
  <c r="I103" i="3" s="1"/>
  <c r="K103" i="3" s="1"/>
  <c r="G104" i="3" a="1"/>
  <c r="G104" i="3" s="1"/>
  <c r="I104" i="3" s="1"/>
  <c r="G128" i="24" l="1" a="1"/>
  <c r="G128" i="24" s="1"/>
  <c r="I128" i="24" s="1"/>
  <c r="K128" i="24" s="1"/>
  <c r="G95" i="24" a="1"/>
  <c r="G95" i="24" s="1"/>
  <c r="I95" i="24" s="1"/>
  <c r="K95" i="24" s="1"/>
  <c r="G98" i="24" a="1"/>
  <c r="G98" i="24" s="1"/>
  <c r="I98" i="24" s="1"/>
  <c r="K98" i="24" s="1"/>
  <c r="G104" i="24" a="1"/>
  <c r="G104" i="24" s="1"/>
  <c r="I104" i="24" s="1"/>
  <c r="K104" i="24" s="1"/>
  <c r="G101" i="24" a="1"/>
  <c r="G101" i="24" s="1"/>
  <c r="I101" i="24" s="1"/>
  <c r="K101" i="24" s="1"/>
  <c r="G107" i="24" a="1"/>
  <c r="G107" i="24" s="1"/>
  <c r="I107" i="24" s="1"/>
  <c r="K107" i="24" s="1"/>
  <c r="G95" i="20" a="1"/>
  <c r="G95" i="20" s="1"/>
  <c r="I95" i="20" s="1"/>
  <c r="K95" i="20" s="1"/>
  <c r="G122" i="24" a="1"/>
  <c r="G122" i="24" s="1"/>
  <c r="I122" i="24" s="1"/>
  <c r="K122" i="24" s="1"/>
  <c r="G121" i="24" a="1"/>
  <c r="G121" i="24" s="1"/>
  <c r="I121" i="24" s="1"/>
  <c r="K121" i="24" s="1"/>
  <c r="G120" i="24" a="1"/>
  <c r="G120" i="24" s="1"/>
  <c r="I120" i="24" s="1"/>
  <c r="K120" i="24" s="1"/>
  <c r="G119" i="24" a="1"/>
  <c r="G119" i="24" s="1"/>
  <c r="I119" i="24" s="1"/>
  <c r="K119" i="24" s="1"/>
  <c r="G114" i="24" a="1"/>
  <c r="G114" i="24" s="1"/>
  <c r="I114" i="24" s="1"/>
  <c r="K114" i="24" s="1"/>
  <c r="G117" i="24" a="1"/>
  <c r="G117" i="24" s="1"/>
  <c r="I117" i="24" s="1"/>
  <c r="K117" i="24" s="1"/>
  <c r="G118" i="24" a="1"/>
  <c r="G118" i="24" s="1"/>
  <c r="I118" i="24" s="1"/>
  <c r="K118" i="24" s="1"/>
  <c r="G100" i="24" a="1"/>
  <c r="G100" i="24" s="1"/>
  <c r="I100" i="24" s="1"/>
  <c r="K100" i="24" s="1"/>
  <c r="G103" i="24" a="1"/>
  <c r="G103" i="24" s="1"/>
  <c r="I103" i="24" s="1"/>
  <c r="K103" i="24" s="1"/>
  <c r="G106" i="24" a="1"/>
  <c r="G106" i="24" s="1"/>
  <c r="I106" i="24" s="1"/>
  <c r="K106" i="24" s="1"/>
  <c r="G97" i="24" a="1"/>
  <c r="G97" i="24" s="1"/>
  <c r="I97" i="24" s="1"/>
  <c r="K97" i="24" s="1"/>
  <c r="G105" i="24" a="1"/>
  <c r="G105" i="24" s="1"/>
  <c r="I105" i="24" s="1"/>
  <c r="K105" i="24" s="1"/>
  <c r="G96" i="24" a="1"/>
  <c r="G96" i="24" s="1"/>
  <c r="I96" i="24" s="1"/>
  <c r="K96" i="24" s="1"/>
  <c r="G108" i="24" a="1"/>
  <c r="G108" i="24" s="1"/>
  <c r="I108" i="24" s="1"/>
  <c r="K108" i="24" s="1"/>
  <c r="G102" i="24" a="1"/>
  <c r="G102" i="24" s="1"/>
  <c r="I102" i="24" s="1"/>
  <c r="K102" i="24" s="1"/>
  <c r="G93" i="24" a="1"/>
  <c r="G93" i="24" s="1"/>
  <c r="I93" i="24" s="1"/>
  <c r="K93" i="24" s="1"/>
  <c r="G94" i="24" a="1"/>
  <c r="G94" i="24" s="1"/>
  <c r="I94" i="24" s="1"/>
  <c r="K94" i="24" s="1"/>
  <c r="G99" i="24" a="1"/>
  <c r="G99" i="24" s="1"/>
  <c r="I99" i="24" s="1"/>
  <c r="K99" i="24" s="1"/>
  <c r="G102" i="20" a="1"/>
  <c r="G102" i="20" s="1"/>
  <c r="I102" i="20" s="1"/>
  <c r="K102" i="20" s="1"/>
  <c r="G99" i="20" a="1"/>
  <c r="G99" i="20" s="1"/>
  <c r="I99" i="20" s="1"/>
  <c r="K99" i="20" s="1"/>
  <c r="G101" i="20" a="1"/>
  <c r="G101" i="20" s="1"/>
  <c r="I101" i="20" s="1"/>
  <c r="K101" i="20" s="1"/>
  <c r="G103" i="20" a="1"/>
  <c r="G103" i="20" s="1"/>
  <c r="I103" i="20" s="1"/>
  <c r="K103" i="20" s="1"/>
  <c r="G98" i="20" a="1"/>
  <c r="G98" i="20" s="1"/>
  <c r="I98" i="20" s="1"/>
  <c r="K98" i="20" s="1"/>
  <c r="G100" i="20" a="1"/>
  <c r="G100" i="20" s="1"/>
  <c r="I100" i="20" s="1"/>
  <c r="K100" i="20" s="1"/>
  <c r="G88" i="20" a="1"/>
  <c r="G88" i="20" s="1"/>
  <c r="I88" i="20" s="1"/>
  <c r="K88" i="20" s="1"/>
  <c r="G85" i="20" a="1"/>
  <c r="G85" i="20" s="1"/>
  <c r="I85" i="20" s="1"/>
  <c r="K85" i="20" s="1"/>
  <c r="G76" i="20" a="1"/>
  <c r="G76" i="20" s="1"/>
  <c r="I76" i="20" s="1"/>
  <c r="K76" i="20" s="1"/>
  <c r="G82" i="20" a="1"/>
  <c r="G82" i="20" s="1"/>
  <c r="I82" i="20" s="1"/>
  <c r="K82" i="20" s="1"/>
  <c r="G79" i="20" a="1"/>
  <c r="G79" i="20" s="1"/>
  <c r="I79" i="20" s="1"/>
  <c r="K79" i="20" s="1"/>
  <c r="G78" i="20" a="1"/>
  <c r="G78" i="20" s="1"/>
  <c r="I78" i="20" s="1"/>
  <c r="K78" i="20" s="1"/>
  <c r="G87" i="20" a="1"/>
  <c r="G87" i="20" s="1"/>
  <c r="I87" i="20" s="1"/>
  <c r="K87" i="20" s="1"/>
  <c r="G81" i="20" a="1"/>
  <c r="G81" i="20" s="1"/>
  <c r="I81" i="20" s="1"/>
  <c r="K81" i="20" s="1"/>
  <c r="G84" i="20" a="1"/>
  <c r="G84" i="20" s="1"/>
  <c r="I84" i="20" s="1"/>
  <c r="K84" i="20" s="1"/>
  <c r="G83" i="20" a="1"/>
  <c r="G83" i="20" s="1"/>
  <c r="I83" i="20" s="1"/>
  <c r="K83" i="20" s="1"/>
  <c r="G74" i="20" a="1"/>
  <c r="G74" i="20" s="1"/>
  <c r="I74" i="20" s="1"/>
  <c r="K74" i="20" s="1"/>
  <c r="G75" i="20" a="1"/>
  <c r="G75" i="20" s="1"/>
  <c r="I75" i="20" s="1"/>
  <c r="K75" i="20" s="1"/>
  <c r="G77" i="20" a="1"/>
  <c r="G77" i="20" s="1"/>
  <c r="I77" i="20" s="1"/>
  <c r="K77" i="20" s="1"/>
  <c r="G86" i="20" a="1"/>
  <c r="G86" i="20" s="1"/>
  <c r="I86" i="20" s="1"/>
  <c r="K86" i="20" s="1"/>
  <c r="G80" i="20" a="1"/>
  <c r="G80" i="20" s="1"/>
  <c r="I80" i="20" s="1"/>
  <c r="K80" i="20" s="1"/>
  <c r="G89" i="20" a="1"/>
  <c r="G89" i="20" s="1"/>
  <c r="I89" i="20" s="1"/>
  <c r="K89" i="20" s="1"/>
  <c r="G109" i="20" a="1"/>
  <c r="G109" i="20" s="1"/>
  <c r="I109" i="20" s="1"/>
  <c r="K109" i="20" s="1"/>
  <c r="G109" i="3" a="1"/>
  <c r="G109" i="3" s="1"/>
  <c r="I109" i="3" s="1"/>
  <c r="K109" i="3" s="1"/>
  <c r="G155" i="13" a="1"/>
  <c r="G155" i="13" s="1"/>
  <c r="I155" i="13" s="1"/>
  <c r="K155" i="13" s="1"/>
  <c r="G102" i="3" a="1"/>
  <c r="G102" i="3" s="1"/>
  <c r="I102" i="3" s="1"/>
  <c r="K102" i="3" s="1"/>
  <c r="G110" i="3" a="1"/>
  <c r="G110" i="3" s="1"/>
  <c r="I110" i="3" s="1"/>
  <c r="K110" i="3" s="1"/>
  <c r="G105" i="3" a="1"/>
  <c r="G105" i="3" s="1"/>
  <c r="I105" i="3" s="1"/>
  <c r="K105" i="3" s="1"/>
  <c r="G106" i="3" a="1"/>
  <c r="G106" i="3" s="1"/>
  <c r="I106" i="3" s="1"/>
  <c r="K106" i="3" s="1"/>
  <c r="G108" i="3" a="1"/>
  <c r="G108" i="3" s="1"/>
  <c r="I108" i="3" s="1"/>
  <c r="K108" i="3" s="1"/>
  <c r="G107" i="3" a="1"/>
  <c r="G107" i="3" s="1"/>
  <c r="I107" i="3" s="1"/>
  <c r="K107" i="3" s="1"/>
  <c r="G148" i="13" a="1"/>
  <c r="G148" i="13" s="1"/>
  <c r="I148" i="13" s="1"/>
  <c r="K148" i="13" s="1"/>
  <c r="G142" i="13" a="1"/>
  <c r="G142" i="13" s="1"/>
  <c r="I142" i="13" s="1"/>
  <c r="K142" i="13" s="1"/>
  <c r="G136" i="13" a="1"/>
  <c r="G136" i="13" s="1"/>
  <c r="I136" i="13" s="1"/>
  <c r="K136" i="13" s="1"/>
  <c r="G145" i="13" a="1"/>
  <c r="G145" i="13" s="1"/>
  <c r="I145" i="13" s="1"/>
  <c r="K145" i="13" s="1"/>
  <c r="G139" i="13" a="1"/>
  <c r="G139" i="13" s="1"/>
  <c r="I139" i="13" s="1"/>
  <c r="K139" i="13" s="1"/>
  <c r="G146" i="13" a="1"/>
  <c r="G146" i="13" s="1"/>
  <c r="I146" i="13" s="1"/>
  <c r="K146" i="13" s="1"/>
  <c r="G149" i="13" a="1"/>
  <c r="G149" i="13" s="1"/>
  <c r="I149" i="13" s="1"/>
  <c r="K149" i="13" s="1"/>
  <c r="G137" i="13" a="1"/>
  <c r="G137" i="13" s="1"/>
  <c r="I137" i="13" s="1"/>
  <c r="K137" i="13" s="1"/>
  <c r="G140" i="13" a="1"/>
  <c r="G140" i="13" s="1"/>
  <c r="I140" i="13" s="1"/>
  <c r="K140" i="13" s="1"/>
  <c r="G143" i="13" a="1"/>
  <c r="G143" i="13" s="1"/>
  <c r="I143" i="13" s="1"/>
  <c r="K143" i="13" s="1"/>
  <c r="G163" i="13" a="1"/>
  <c r="G163" i="13" s="1"/>
  <c r="I163" i="13" s="1"/>
  <c r="K163" i="13" s="1"/>
  <c r="G160" i="13" a="1"/>
  <c r="G160" i="13" s="1"/>
  <c r="I160" i="13" s="1"/>
  <c r="K160" i="13" s="1"/>
  <c r="G164" i="13" a="1"/>
  <c r="G164" i="13" s="1"/>
  <c r="I164" i="13" s="1"/>
  <c r="K164" i="13" s="1"/>
  <c r="G161" i="13" a="1"/>
  <c r="G161" i="13" s="1"/>
  <c r="I161" i="13" s="1"/>
  <c r="K161" i="13" s="1"/>
  <c r="G158" i="13" a="1"/>
  <c r="G158" i="13" s="1"/>
  <c r="I158" i="13" s="1"/>
  <c r="K158" i="13" s="1"/>
  <c r="G159" i="13" a="1"/>
  <c r="G159" i="13" s="1"/>
  <c r="I159" i="13" s="1"/>
  <c r="K159" i="13" s="1"/>
  <c r="G162" i="13" a="1"/>
  <c r="G162" i="13" s="1"/>
  <c r="I162" i="13" s="1"/>
  <c r="K162" i="13" s="1"/>
  <c r="G147" i="13" a="1"/>
  <c r="G147" i="13" s="1"/>
  <c r="I147" i="13" s="1"/>
  <c r="K147" i="13" s="1"/>
  <c r="G144" i="13" a="1"/>
  <c r="G144" i="13" s="1"/>
  <c r="I144" i="13" s="1"/>
  <c r="K144" i="13" s="1"/>
  <c r="G141" i="13" a="1"/>
  <c r="G141" i="13" s="1"/>
  <c r="I141" i="13" s="1"/>
  <c r="K141" i="13" s="1"/>
  <c r="G135" i="13" a="1"/>
  <c r="G135" i="13" s="1"/>
  <c r="I135" i="13" s="1"/>
  <c r="K135" i="13" s="1"/>
  <c r="G138" i="13" a="1"/>
  <c r="G138" i="13" s="1"/>
  <c r="I138" i="13" s="1"/>
  <c r="K138" i="13" s="1"/>
  <c r="G170" i="13" a="1"/>
  <c r="G170" i="13" s="1"/>
  <c r="I170" i="13" s="1"/>
  <c r="K170" i="13" s="1"/>
  <c r="G116" i="3" a="1"/>
  <c r="G116" i="3" s="1"/>
  <c r="I116" i="3" s="1"/>
  <c r="K116" i="3" s="1"/>
  <c r="G95" i="3" a="1"/>
  <c r="G95" i="3" s="1"/>
  <c r="I95" i="3" s="1"/>
  <c r="K95" i="3" s="1"/>
  <c r="G92" i="3" a="1"/>
  <c r="G92" i="3" s="1"/>
  <c r="I92" i="3" s="1"/>
  <c r="K92" i="3" s="1"/>
  <c r="G89" i="3" a="1"/>
  <c r="G89" i="3" s="1"/>
  <c r="I89" i="3" s="1"/>
  <c r="K89" i="3" s="1"/>
  <c r="G83" i="3" a="1"/>
  <c r="G83" i="3" s="1"/>
  <c r="I83" i="3" s="1"/>
  <c r="K83" i="3" s="1"/>
  <c r="G86" i="3" a="1"/>
  <c r="G86" i="3" s="1"/>
  <c r="I86" i="3" s="1"/>
  <c r="K86" i="3" s="1"/>
  <c r="G91" i="3" a="1"/>
  <c r="G91" i="3" s="1"/>
  <c r="I91" i="3" s="1"/>
  <c r="K91" i="3" s="1"/>
  <c r="G85" i="3" a="1"/>
  <c r="G85" i="3" s="1"/>
  <c r="I85" i="3" s="1"/>
  <c r="K85" i="3" s="1"/>
  <c r="G94" i="3" a="1"/>
  <c r="G94" i="3" s="1"/>
  <c r="I94" i="3" s="1"/>
  <c r="K94" i="3" s="1"/>
  <c r="G88" i="3" a="1"/>
  <c r="G88" i="3" s="1"/>
  <c r="I88" i="3" s="1"/>
  <c r="K88" i="3" s="1"/>
  <c r="G82" i="3" a="1"/>
  <c r="G82" i="3" s="1"/>
  <c r="I82" i="3" s="1"/>
  <c r="K82" i="3" s="1"/>
  <c r="G87" i="3" a="1"/>
  <c r="G87" i="3" s="1"/>
  <c r="I87" i="3" s="1"/>
  <c r="K87" i="3" s="1"/>
  <c r="G90" i="3" a="1"/>
  <c r="G90" i="3" s="1"/>
  <c r="I90" i="3" s="1"/>
  <c r="K90" i="3" s="1"/>
  <c r="G93" i="3" a="1"/>
  <c r="G93" i="3" s="1"/>
  <c r="I93" i="3" s="1"/>
  <c r="K93" i="3" s="1"/>
  <c r="G84" i="3" a="1"/>
  <c r="G84" i="3" s="1"/>
  <c r="I84" i="3" s="1"/>
  <c r="K84" i="3" s="1"/>
  <c r="G96" i="3" a="1"/>
  <c r="G96" i="3" s="1"/>
  <c r="I96" i="3" s="1"/>
  <c r="K96" i="3" s="1"/>
  <c r="G129" i="24" l="1" a="1"/>
  <c r="G129" i="24" s="1"/>
  <c r="I129" i="24" s="1"/>
  <c r="K129" i="24" s="1"/>
  <c r="K131" i="24" s="1"/>
  <c r="G73" i="20" a="1"/>
  <c r="G73" i="20" s="1"/>
  <c r="I73" i="20" s="1"/>
  <c r="K73" i="20" s="1"/>
  <c r="G92" i="24" a="1"/>
  <c r="G92" i="24" s="1"/>
  <c r="I92" i="24" s="1"/>
  <c r="K92" i="24" s="1"/>
  <c r="G72" i="20" a="1"/>
  <c r="G72" i="20" s="1"/>
  <c r="I72" i="20" s="1"/>
  <c r="K72" i="20" s="1"/>
  <c r="G91" i="24" a="1"/>
  <c r="G91" i="24" s="1"/>
  <c r="I91" i="24" s="1"/>
  <c r="K91" i="24" s="1"/>
  <c r="K124" i="24"/>
  <c r="K105" i="20"/>
  <c r="F174" i="8" s="1"/>
  <c r="G171" i="13" a="1"/>
  <c r="G171" i="13" s="1"/>
  <c r="I171" i="13" s="1"/>
  <c r="K171" i="13" s="1"/>
  <c r="K173" i="13" s="1"/>
  <c r="F75" i="8" s="1"/>
  <c r="G110" i="20" a="1"/>
  <c r="G110" i="20" s="1"/>
  <c r="I110" i="20" s="1"/>
  <c r="K110" i="20" s="1"/>
  <c r="K112" i="20" s="1"/>
  <c r="F175" i="8" s="1"/>
  <c r="K166" i="13"/>
  <c r="F74" i="8" s="1"/>
  <c r="G134" i="13" a="1"/>
  <c r="G134" i="13" s="1"/>
  <c r="I134" i="13" s="1"/>
  <c r="K134" i="13" s="1"/>
  <c r="G132" i="13" a="1"/>
  <c r="G132" i="13" s="1"/>
  <c r="I132" i="13" s="1"/>
  <c r="K132" i="13" s="1"/>
  <c r="G133" i="13" a="1"/>
  <c r="G133" i="13" s="1"/>
  <c r="I133" i="13" s="1"/>
  <c r="K133" i="13" s="1"/>
  <c r="G117" i="3" a="1"/>
  <c r="G117" i="3" s="1"/>
  <c r="I117" i="3" s="1"/>
  <c r="K117" i="3" s="1"/>
  <c r="G81" i="3" a="1"/>
  <c r="G81" i="3" s="1"/>
  <c r="I81" i="3" s="1"/>
  <c r="K81" i="3" s="1"/>
  <c r="K104" i="3"/>
  <c r="K112" i="3" s="1"/>
  <c r="G79" i="3" a="1"/>
  <c r="G79" i="3" s="1"/>
  <c r="I79" i="3" s="1"/>
  <c r="K79" i="3" s="1"/>
  <c r="G80" i="3" a="1"/>
  <c r="G80" i="3" s="1"/>
  <c r="I80" i="3" s="1"/>
  <c r="K80" i="3" s="1"/>
  <c r="I124" i="24" l="1"/>
  <c r="D124" i="8" s="1"/>
  <c r="F124" i="8"/>
  <c r="I131" i="24"/>
  <c r="D125" i="8" s="1"/>
  <c r="F125" i="8"/>
  <c r="K91" i="20"/>
  <c r="K110" i="24"/>
  <c r="I105" i="20"/>
  <c r="D174" i="8" s="1"/>
  <c r="I112" i="20"/>
  <c r="D175" i="8" s="1"/>
  <c r="I166" i="13"/>
  <c r="D74" i="8" s="1"/>
  <c r="K98" i="3"/>
  <c r="I98" i="3" s="1"/>
  <c r="K151" i="13"/>
  <c r="F73" i="8" s="1"/>
  <c r="K119" i="3"/>
  <c r="I119" i="3" s="1"/>
  <c r="D20" i="8" s="1"/>
  <c r="I112" i="3"/>
  <c r="D19" i="8" s="1"/>
  <c r="I173" i="13"/>
  <c r="F173" i="8" l="1"/>
  <c r="I110" i="24"/>
  <c r="D123" i="8" s="1"/>
  <c r="F123" i="8"/>
  <c r="I91" i="20"/>
  <c r="D173" i="8" s="1"/>
  <c r="D75" i="8"/>
  <c r="F20" i="8"/>
  <c r="F19" i="8"/>
  <c r="I151" i="13"/>
  <c r="D73" i="8" s="1"/>
  <c r="D18" i="8"/>
  <c r="F18" i="8"/>
  <c r="C107" i="13" l="1"/>
  <c r="C108" i="13" s="1"/>
  <c r="G108" i="13"/>
  <c r="I108" i="13" s="1"/>
  <c r="G185" i="24"/>
  <c r="I185" i="24" s="1"/>
  <c r="C59" i="24"/>
  <c r="G59" i="24"/>
  <c r="I59" i="24" s="1"/>
  <c r="C157" i="3"/>
  <c r="I54" i="20"/>
  <c r="C53" i="20"/>
  <c r="C54" i="20" s="1"/>
  <c r="G46" i="20"/>
  <c r="I46" i="20" s="1"/>
  <c r="K46" i="20" s="1"/>
  <c r="G38" i="20"/>
  <c r="I38" i="20" s="1"/>
  <c r="I36" i="20"/>
  <c r="K36" i="20" s="1"/>
  <c r="I45" i="20"/>
  <c r="K45" i="20" s="1"/>
  <c r="K31" i="20"/>
  <c r="C67" i="13"/>
  <c r="C68" i="13" s="1"/>
  <c r="G255" i="24"/>
  <c r="I255" i="24" s="1"/>
  <c r="C254" i="24"/>
  <c r="C255" i="24" s="1"/>
  <c r="C273" i="13"/>
  <c r="C274" i="13" s="1"/>
  <c r="C243" i="3"/>
  <c r="C244" i="3" s="1"/>
  <c r="C216" i="20"/>
  <c r="C217" i="20" s="1"/>
  <c r="C82" i="24"/>
  <c r="C83" i="24" s="1"/>
  <c r="C244" i="24"/>
  <c r="C245" i="24" s="1"/>
  <c r="C233" i="3"/>
  <c r="C234" i="3" s="1"/>
  <c r="C206" i="20"/>
  <c r="C207" i="20" s="1"/>
  <c r="C121" i="13"/>
  <c r="C122" i="13" s="1"/>
  <c r="C263" i="13"/>
  <c r="C264" i="13" s="1"/>
  <c r="G207" i="24"/>
  <c r="I207" i="24" s="1"/>
  <c r="C206" i="24"/>
  <c r="C207" i="24" s="1"/>
  <c r="G216" i="24"/>
  <c r="I216" i="24" s="1"/>
  <c r="C69" i="24"/>
  <c r="C215" i="24"/>
  <c r="C216" i="24" s="1"/>
  <c r="G69" i="24"/>
  <c r="I69" i="24" s="1"/>
  <c r="C264" i="24"/>
  <c r="C265" i="24" s="1"/>
  <c r="C169" i="24"/>
  <c r="C283" i="13"/>
  <c r="C284" i="13" s="1"/>
  <c r="C253" i="3"/>
  <c r="C254" i="3" s="1"/>
  <c r="C226" i="20"/>
  <c r="C227" i="20" s="1"/>
  <c r="C185" i="24"/>
  <c r="C166" i="20"/>
  <c r="C227" i="13"/>
  <c r="C211" i="13"/>
  <c r="C173" i="3"/>
  <c r="G217" i="20"/>
  <c r="I217" i="20" s="1"/>
  <c r="G68" i="13"/>
  <c r="I68" i="13" s="1"/>
  <c r="G274" i="13"/>
  <c r="I274" i="13" s="1"/>
  <c r="G244" i="3"/>
  <c r="I244" i="3" s="1"/>
  <c r="I195" i="3"/>
  <c r="H8" i="9"/>
  <c r="N8" i="9"/>
  <c r="N9" i="9"/>
  <c r="N10" i="9"/>
  <c r="N11" i="9"/>
  <c r="N7" i="9"/>
  <c r="B2" i="9"/>
  <c r="B2" i="11"/>
  <c r="B2" i="7"/>
  <c r="B2" i="5"/>
  <c r="B2" i="4"/>
  <c r="B2" i="3"/>
  <c r="B2" i="8"/>
  <c r="K108" i="13" l="1"/>
  <c r="K112" i="13" s="1"/>
  <c r="F71" i="8" s="1"/>
  <c r="G173" i="3"/>
  <c r="I173" i="3" s="1"/>
  <c r="G254" i="3"/>
  <c r="I254" i="3" s="1"/>
  <c r="K254" i="3" s="1"/>
  <c r="K258" i="3" s="1"/>
  <c r="G284" i="13"/>
  <c r="I284" i="13" s="1"/>
  <c r="K284" i="13" s="1"/>
  <c r="G150" i="20"/>
  <c r="I150" i="20" s="1"/>
  <c r="G169" i="24"/>
  <c r="I169" i="24" s="1"/>
  <c r="K169" i="24" s="1"/>
  <c r="G265" i="24"/>
  <c r="I265" i="24" s="1"/>
  <c r="K265" i="24" s="1"/>
  <c r="K269" i="24" s="1"/>
  <c r="G166" i="20"/>
  <c r="I166" i="20" s="1"/>
  <c r="K166" i="20" s="1"/>
  <c r="K169" i="20" s="1"/>
  <c r="F179" i="8" s="1"/>
  <c r="G227" i="20"/>
  <c r="I227" i="20" s="1"/>
  <c r="K227" i="20" s="1"/>
  <c r="K231" i="20" s="1"/>
  <c r="F184" i="8" s="1"/>
  <c r="G211" i="13"/>
  <c r="I211" i="13" s="1"/>
  <c r="K211" i="13" s="1"/>
  <c r="G227" i="13"/>
  <c r="I227" i="13" s="1"/>
  <c r="K227" i="13" s="1"/>
  <c r="K230" i="13" s="1"/>
  <c r="F79" i="8" s="1"/>
  <c r="G157" i="3"/>
  <c r="I157" i="3" s="1"/>
  <c r="K157" i="3" s="1"/>
  <c r="K59" i="24"/>
  <c r="K54" i="20"/>
  <c r="K56" i="20" s="1"/>
  <c r="F171" i="8" s="1"/>
  <c r="K48" i="20"/>
  <c r="F170" i="8" s="1"/>
  <c r="K38" i="20"/>
  <c r="K40" i="20" s="1"/>
  <c r="F168" i="8"/>
  <c r="D168" i="8"/>
  <c r="K69" i="24"/>
  <c r="K216" i="24"/>
  <c r="K220" i="24" s="1"/>
  <c r="K255" i="24"/>
  <c r="K259" i="24" s="1"/>
  <c r="K207" i="24"/>
  <c r="K210" i="24" s="1"/>
  <c r="K185" i="24"/>
  <c r="K188" i="24" s="1"/>
  <c r="K197" i="3"/>
  <c r="K207" i="3"/>
  <c r="K209" i="3" s="1"/>
  <c r="K217" i="20"/>
  <c r="K221" i="20" s="1"/>
  <c r="F183" i="8" s="1"/>
  <c r="K68" i="13"/>
  <c r="K72" i="13" s="1"/>
  <c r="K274" i="13"/>
  <c r="K244" i="3"/>
  <c r="K248" i="3" s="1"/>
  <c r="K195" i="3"/>
  <c r="B69" i="3"/>
  <c r="K173" i="3"/>
  <c r="K176" i="3" s="1"/>
  <c r="I176" i="3" s="1"/>
  <c r="F68" i="8" l="1"/>
  <c r="I73" i="13"/>
  <c r="I68" i="20"/>
  <c r="D172" i="8" s="1"/>
  <c r="I56" i="20"/>
  <c r="D171" i="8" s="1"/>
  <c r="I48" i="20"/>
  <c r="D170" i="8" s="1"/>
  <c r="F169" i="8"/>
  <c r="F193" i="8" s="1"/>
  <c r="I40" i="20"/>
  <c r="D169" i="8" s="1"/>
  <c r="F135" i="8"/>
  <c r="I259" i="24"/>
  <c r="D135" i="8" s="1"/>
  <c r="F136" i="8"/>
  <c r="I269" i="24"/>
  <c r="D136" i="8" s="1"/>
  <c r="I220" i="24"/>
  <c r="D132" i="8" s="1"/>
  <c r="F132" i="8"/>
  <c r="I210" i="24"/>
  <c r="D131" i="8" s="1"/>
  <c r="F131" i="8"/>
  <c r="I188" i="24"/>
  <c r="D129" i="8" s="1"/>
  <c r="F129" i="8"/>
  <c r="I169" i="20"/>
  <c r="I230" i="13"/>
  <c r="D79" i="8" s="1"/>
  <c r="I72" i="13"/>
  <c r="I231" i="20"/>
  <c r="D184" i="8" s="1"/>
  <c r="I221" i="20"/>
  <c r="D183" i="8" s="1"/>
  <c r="K199" i="3"/>
  <c r="I199" i="3" s="1"/>
  <c r="D16" i="8" s="1"/>
  <c r="D17" i="8"/>
  <c r="F17" i="8"/>
  <c r="K288" i="13"/>
  <c r="K278" i="13"/>
  <c r="F83" i="8" s="1"/>
  <c r="D24" i="8"/>
  <c r="I248" i="3"/>
  <c r="D28" i="8" s="1"/>
  <c r="F28" i="8"/>
  <c r="I258" i="3"/>
  <c r="D29" i="8" s="1"/>
  <c r="F29" i="8"/>
  <c r="D25" i="8"/>
  <c r="F25" i="8"/>
  <c r="F84" i="8" l="1"/>
  <c r="I288" i="13"/>
  <c r="D84" i="8" s="1"/>
  <c r="D179" i="8"/>
  <c r="I278" i="13"/>
  <c r="D83" i="8" s="1"/>
  <c r="F16" i="8"/>
  <c r="F24" i="8"/>
  <c r="D68" i="8"/>
  <c r="G71" i="3"/>
  <c r="I71" i="3" s="1"/>
  <c r="K71" i="3" s="1"/>
  <c r="G69" i="3" l="1"/>
  <c r="I69" i="3" s="1"/>
  <c r="K69" i="3" s="1"/>
  <c r="G73" i="3"/>
  <c r="I73" i="3" s="1"/>
  <c r="K73" i="3" s="1"/>
  <c r="K75" i="3" l="1"/>
  <c r="I75" i="3" s="1"/>
  <c r="F15" i="8" l="1"/>
  <c r="F38" i="8" s="1"/>
  <c r="D15" i="8"/>
  <c r="G155" i="3" l="1"/>
  <c r="I155" i="3" s="1"/>
  <c r="K155" i="3" s="1"/>
  <c r="G167" i="24"/>
  <c r="I167" i="24" s="1"/>
  <c r="K167" i="24" s="1"/>
  <c r="K171" i="24" s="1"/>
  <c r="G209" i="13"/>
  <c r="I209" i="13" s="1"/>
  <c r="K209" i="13" s="1"/>
  <c r="K213" i="13" s="1"/>
  <c r="G148" i="20"/>
  <c r="I148" i="20" s="1"/>
  <c r="I171" i="24" l="1"/>
  <c r="D128" i="8" s="1"/>
  <c r="F128" i="8"/>
  <c r="K159" i="3"/>
  <c r="F23" i="8" s="1"/>
  <c r="I213" i="13"/>
  <c r="D78" i="8" s="1"/>
  <c r="F78" i="8"/>
  <c r="I159" i="3" l="1"/>
  <c r="D23" i="8" s="1"/>
  <c r="G50" i="24" l="1"/>
  <c r="I50" i="24" s="1"/>
  <c r="K50" i="24" s="1"/>
  <c r="K52" i="24" s="1"/>
  <c r="G52" i="13"/>
  <c r="I52" i="13" s="1"/>
  <c r="K52" i="13" s="1"/>
  <c r="G56" i="3"/>
  <c r="I56" i="3" s="1"/>
  <c r="K56" i="3" s="1"/>
  <c r="K58" i="3" s="1"/>
  <c r="I141" i="24" l="1"/>
  <c r="D126" i="8" s="1"/>
  <c r="I52" i="24"/>
  <c r="D119" i="8" s="1"/>
  <c r="F119" i="8"/>
  <c r="K54" i="13"/>
  <c r="F66" i="8" s="1"/>
  <c r="I58" i="3"/>
  <c r="D13" i="8" s="1"/>
  <c r="F13" i="8"/>
  <c r="I54" i="13" l="1"/>
  <c r="D66" i="8" s="1"/>
  <c r="I119" i="13" l="1"/>
  <c r="K119" i="13" l="1"/>
  <c r="G83" i="24" l="1"/>
  <c r="I83" i="24" s="1"/>
  <c r="K83" i="24" s="1"/>
  <c r="G50" i="3"/>
  <c r="I50" i="3" s="1"/>
  <c r="K50" i="3" s="1"/>
  <c r="G58" i="13"/>
  <c r="I58" i="13" s="1"/>
  <c r="K58" i="13" s="1"/>
  <c r="G207" i="20"/>
  <c r="I207" i="20" s="1"/>
  <c r="K207" i="20" s="1"/>
  <c r="K211" i="20" s="1"/>
  <c r="F182" i="8" s="1"/>
  <c r="G245" i="24"/>
  <c r="I245" i="24" s="1"/>
  <c r="K245" i="24" s="1"/>
  <c r="K249" i="24" s="1"/>
  <c r="F134" i="8" s="1"/>
  <c r="G264" i="13"/>
  <c r="I264" i="13" s="1"/>
  <c r="K264" i="13" s="1"/>
  <c r="K268" i="13" s="1"/>
  <c r="F82" i="8" s="1"/>
  <c r="G122" i="13"/>
  <c r="I122" i="13" s="1"/>
  <c r="K122" i="13" s="1"/>
  <c r="K128" i="13" s="1"/>
  <c r="F72" i="8" s="1"/>
  <c r="F93" i="8" s="1"/>
  <c r="F97" i="8" s="1"/>
  <c r="G58" i="24"/>
  <c r="G59" i="13"/>
  <c r="I59" i="13" s="1"/>
  <c r="K59" i="13" s="1"/>
  <c r="G234" i="3"/>
  <c r="I234" i="3" s="1"/>
  <c r="K234" i="3" s="1"/>
  <c r="K238" i="3" s="1"/>
  <c r="F27" i="8" s="1"/>
  <c r="D134" i="8"/>
  <c r="I211" i="20"/>
  <c r="D182" i="8" s="1"/>
  <c r="I45" i="3"/>
  <c r="D11" i="8" s="1"/>
  <c r="I268" i="13"/>
  <c r="D82" i="8" s="1"/>
  <c r="D27" i="8"/>
  <c r="I128" i="13" l="1"/>
  <c r="D72" i="8" s="1"/>
  <c r="G46" i="13"/>
  <c r="I46" i="13" s="1"/>
  <c r="K46" i="13" s="1"/>
  <c r="K48" i="13" s="1"/>
  <c r="F65" i="8" s="1"/>
  <c r="G49" i="3"/>
  <c r="I49" i="3" s="1"/>
  <c r="K49" i="3" s="1"/>
  <c r="K52" i="3" s="1"/>
  <c r="F12" i="8" s="1"/>
  <c r="G40" i="13"/>
  <c r="I40" i="13" s="1"/>
  <c r="K40" i="13" s="1"/>
  <c r="K42" i="13" s="1"/>
  <c r="G44" i="24"/>
  <c r="I44" i="24" s="1"/>
  <c r="K44" i="24" s="1"/>
  <c r="K46" i="24" s="1"/>
  <c r="F118" i="8" s="1"/>
  <c r="G43" i="3"/>
  <c r="I43" i="3" s="1"/>
  <c r="K43" i="3" s="1"/>
  <c r="K45" i="3" s="1"/>
  <c r="G63" i="3"/>
  <c r="I63" i="3" s="1"/>
  <c r="K63" i="3" s="1"/>
  <c r="G57" i="24"/>
  <c r="I57" i="24" s="1"/>
  <c r="K57" i="24" s="1"/>
  <c r="K61" i="13"/>
  <c r="F67" i="8" s="1"/>
  <c r="G61" i="24"/>
  <c r="I61" i="24" s="1"/>
  <c r="K61" i="24" s="1"/>
  <c r="G60" i="24"/>
  <c r="I60" i="24" s="1"/>
  <c r="K60" i="24" s="1"/>
  <c r="G77" i="24"/>
  <c r="I77" i="24" s="1"/>
  <c r="K77" i="24" s="1"/>
  <c r="K87" i="24" s="1"/>
  <c r="F122" i="8" s="1"/>
  <c r="G68" i="24"/>
  <c r="I68" i="24" s="1"/>
  <c r="K68" i="24" s="1"/>
  <c r="G71" i="24"/>
  <c r="I71" i="24" s="1"/>
  <c r="K71" i="24" s="1"/>
  <c r="G70" i="24"/>
  <c r="I70" i="24" s="1"/>
  <c r="K70" i="24" s="1"/>
  <c r="I46" i="24"/>
  <c r="D118" i="8" s="1"/>
  <c r="I58" i="24"/>
  <c r="K58" i="24" s="1"/>
  <c r="I52" i="3"/>
  <c r="D12" i="8" s="1"/>
  <c r="I48" i="13"/>
  <c r="D65" i="8" s="1"/>
  <c r="I61" i="13"/>
  <c r="D67" i="8" s="1"/>
  <c r="F64" i="8" l="1"/>
  <c r="F11" i="8"/>
  <c r="I42" i="13"/>
  <c r="D64" i="8" s="1"/>
  <c r="G189" i="13"/>
  <c r="I189" i="13" s="1"/>
  <c r="K189" i="13" s="1"/>
  <c r="G188" i="13"/>
  <c r="I188" i="13" s="1"/>
  <c r="K188" i="13" s="1"/>
  <c r="G146" i="24"/>
  <c r="I146" i="24" s="1"/>
  <c r="K146" i="24" s="1"/>
  <c r="G129" i="20"/>
  <c r="I129" i="20" s="1"/>
  <c r="K129" i="20" s="1"/>
  <c r="G127" i="20"/>
  <c r="I127" i="20" s="1"/>
  <c r="K127" i="20" s="1"/>
  <c r="G148" i="24"/>
  <c r="I148" i="24" s="1"/>
  <c r="K148" i="24" s="1"/>
  <c r="G136" i="3"/>
  <c r="I136" i="3" s="1"/>
  <c r="K136" i="3" s="1"/>
  <c r="G190" i="13"/>
  <c r="I190" i="13" s="1"/>
  <c r="K190" i="13" s="1"/>
  <c r="G134" i="3"/>
  <c r="I134" i="3" s="1"/>
  <c r="K134" i="3" s="1"/>
  <c r="G135" i="3"/>
  <c r="I135" i="3" s="1"/>
  <c r="K135" i="3" s="1"/>
  <c r="G147" i="24"/>
  <c r="I147" i="24" s="1"/>
  <c r="K147" i="24" s="1"/>
  <c r="G128" i="20"/>
  <c r="I128" i="20" s="1"/>
  <c r="K128" i="20" s="1"/>
  <c r="G136" i="24"/>
  <c r="I136" i="24" s="1"/>
  <c r="K136" i="24" s="1"/>
  <c r="G118" i="20"/>
  <c r="I118" i="20" s="1"/>
  <c r="K118" i="20" s="1"/>
  <c r="G125" i="3"/>
  <c r="I125" i="3" s="1"/>
  <c r="K125" i="3" s="1"/>
  <c r="G119" i="20"/>
  <c r="I119" i="20" s="1"/>
  <c r="K119" i="20" s="1"/>
  <c r="G138" i="24"/>
  <c r="I138" i="24" s="1"/>
  <c r="K138" i="24" s="1"/>
  <c r="G178" i="13"/>
  <c r="I178" i="13" s="1"/>
  <c r="K178" i="13" s="1"/>
  <c r="G127" i="3"/>
  <c r="I127" i="3" s="1"/>
  <c r="G181" i="13"/>
  <c r="G124" i="3"/>
  <c r="I124" i="3" s="1"/>
  <c r="K124" i="3" s="1"/>
  <c r="G137" i="24"/>
  <c r="I137" i="24" s="1"/>
  <c r="K137" i="24" s="1"/>
  <c r="G179" i="13"/>
  <c r="I179" i="13" s="1"/>
  <c r="K179" i="13" s="1"/>
  <c r="G126" i="3"/>
  <c r="I126" i="3" s="1"/>
  <c r="K126" i="3" s="1"/>
  <c r="G117" i="20"/>
  <c r="I117" i="20" s="1"/>
  <c r="K117" i="20" s="1"/>
  <c r="G120" i="20"/>
  <c r="I120" i="20" s="1"/>
  <c r="G180" i="13"/>
  <c r="I180" i="13" s="1"/>
  <c r="K180" i="13" s="1"/>
  <c r="G139" i="24"/>
  <c r="I139" i="24" s="1"/>
  <c r="G62" i="3"/>
  <c r="I62" i="3" s="1"/>
  <c r="K62" i="3" s="1"/>
  <c r="K65" i="3" s="1"/>
  <c r="G67" i="24"/>
  <c r="I67" i="24" s="1"/>
  <c r="K67" i="24" s="1"/>
  <c r="K73" i="24" s="1"/>
  <c r="G56" i="24"/>
  <c r="I56" i="24" s="1"/>
  <c r="K56" i="24" s="1"/>
  <c r="K63" i="24" s="1"/>
  <c r="F120" i="8" s="1"/>
  <c r="D122" i="8"/>
  <c r="I63" i="24"/>
  <c r="D120" i="8" s="1"/>
  <c r="I73" i="24" l="1"/>
  <c r="D121" i="8" s="1"/>
  <c r="G149" i="24"/>
  <c r="I149" i="24" s="1"/>
  <c r="K149" i="24" s="1"/>
  <c r="G133" i="3"/>
  <c r="I133" i="3" s="1"/>
  <c r="K133" i="3" s="1"/>
  <c r="G130" i="20"/>
  <c r="I130" i="20" s="1"/>
  <c r="K130" i="20" s="1"/>
  <c r="G126" i="20"/>
  <c r="I126" i="20" s="1"/>
  <c r="K126" i="20" s="1"/>
  <c r="G137" i="3"/>
  <c r="I137" i="3" s="1"/>
  <c r="K137" i="3" s="1"/>
  <c r="G145" i="24"/>
  <c r="I145" i="24" s="1"/>
  <c r="K145" i="24" s="1"/>
  <c r="G191" i="13"/>
  <c r="I191" i="13" s="1"/>
  <c r="K191" i="13" s="1"/>
  <c r="G187" i="13"/>
  <c r="I187" i="13" s="1"/>
  <c r="K187" i="13" s="1"/>
  <c r="G123" i="3"/>
  <c r="I123" i="3" s="1"/>
  <c r="K123" i="3" s="1"/>
  <c r="G135" i="24"/>
  <c r="I135" i="24" s="1"/>
  <c r="K135" i="24" s="1"/>
  <c r="G116" i="20"/>
  <c r="I116" i="20" s="1"/>
  <c r="K116" i="20" s="1"/>
  <c r="G177" i="13"/>
  <c r="I177" i="13" s="1"/>
  <c r="K177" i="13" s="1"/>
  <c r="G66" i="20"/>
  <c r="I66" i="20" s="1"/>
  <c r="K66" i="20" s="1"/>
  <c r="G65" i="20"/>
  <c r="I65" i="20" s="1"/>
  <c r="K65" i="20" s="1"/>
  <c r="G60" i="20"/>
  <c r="I60" i="20" s="1"/>
  <c r="K60" i="20" s="1"/>
  <c r="G63" i="20"/>
  <c r="I63" i="20" s="1"/>
  <c r="K63" i="20" s="1"/>
  <c r="G61" i="20"/>
  <c r="I61" i="20" s="1"/>
  <c r="K61" i="20" s="1"/>
  <c r="G62" i="20"/>
  <c r="I62" i="20" s="1"/>
  <c r="K62" i="20" s="1"/>
  <c r="G64" i="20"/>
  <c r="I64" i="20" s="1"/>
  <c r="K64" i="20" s="1"/>
  <c r="K127" i="3"/>
  <c r="K139" i="24"/>
  <c r="I181" i="13"/>
  <c r="K181" i="13" s="1"/>
  <c r="K120" i="20"/>
  <c r="F121" i="8"/>
  <c r="F145" i="8" s="1"/>
  <c r="I65" i="3"/>
  <c r="D14" i="8" s="1"/>
  <c r="F14" i="8"/>
  <c r="C178" i="8"/>
  <c r="K193" i="13" l="1"/>
  <c r="F77" i="8" s="1"/>
  <c r="K68" i="20"/>
  <c r="F172" i="8" s="1"/>
  <c r="K151" i="24"/>
  <c r="F127" i="8" s="1"/>
  <c r="K139" i="3"/>
  <c r="F22" i="8" s="1"/>
  <c r="K132" i="20"/>
  <c r="F177" i="8" s="1"/>
  <c r="I139" i="3"/>
  <c r="D22" i="8" s="1"/>
  <c r="K129" i="3"/>
  <c r="K183" i="13"/>
  <c r="F323" i="13" s="1"/>
  <c r="K2" i="13" s="1"/>
  <c r="K141" i="24"/>
  <c r="F302" i="24" s="1"/>
  <c r="I183" i="13"/>
  <c r="D76" i="8" s="1"/>
  <c r="I129" i="3"/>
  <c r="D21" i="8" s="1"/>
  <c r="K122" i="20"/>
  <c r="C148" i="20"/>
  <c r="F21" i="8" l="1"/>
  <c r="F291" i="3"/>
  <c r="G291" i="3" s="1"/>
  <c r="I291" i="3" s="1"/>
  <c r="K291" i="3" s="1"/>
  <c r="G325" i="13"/>
  <c r="I325" i="13" s="1"/>
  <c r="K325" i="13" s="1"/>
  <c r="F76" i="8"/>
  <c r="F126" i="8"/>
  <c r="I122" i="20"/>
  <c r="D176" i="8" s="1"/>
  <c r="F176" i="8"/>
  <c r="K148" i="20"/>
  <c r="C149" i="20"/>
  <c r="G323" i="13" l="1"/>
  <c r="I323" i="13" s="1"/>
  <c r="K323" i="13" s="1"/>
  <c r="G324" i="13"/>
  <c r="I324" i="13" s="1"/>
  <c r="K324" i="13" s="1"/>
  <c r="G293" i="3"/>
  <c r="I293" i="3" s="1"/>
  <c r="K293" i="3" s="1"/>
  <c r="G292" i="3"/>
  <c r="I292" i="3" s="1"/>
  <c r="K292" i="3" s="1"/>
  <c r="G304" i="24"/>
  <c r="I304" i="24" s="1"/>
  <c r="K304" i="24" s="1"/>
  <c r="G303" i="24"/>
  <c r="I303" i="24" s="1"/>
  <c r="K303" i="24" s="1"/>
  <c r="G302" i="24"/>
  <c r="I302" i="24" s="1"/>
  <c r="K302" i="24" s="1"/>
  <c r="C150" i="20"/>
  <c r="K150" i="20" s="1"/>
  <c r="K149" i="20"/>
  <c r="K327" i="13" l="1"/>
  <c r="K295" i="3"/>
  <c r="K306" i="24"/>
  <c r="K2" i="24" s="1"/>
  <c r="K152" i="20"/>
  <c r="F264" i="20" s="1"/>
  <c r="K2" i="3" l="1"/>
  <c r="K6" i="3" s="1"/>
  <c r="F33" i="8"/>
  <c r="F37" i="8" s="1"/>
  <c r="F140" i="8"/>
  <c r="F144" i="8" s="1"/>
  <c r="F178" i="8"/>
  <c r="I152" i="20"/>
  <c r="D178" i="8" s="1"/>
  <c r="F36" i="8" l="1"/>
  <c r="F143" i="8"/>
  <c r="G265" i="20"/>
  <c r="G266" i="20"/>
  <c r="G264" i="20"/>
  <c r="I264" i="20" s="1"/>
  <c r="F148" i="8" l="1"/>
  <c r="F146" i="8"/>
  <c r="F217" i="8"/>
  <c r="F147" i="8"/>
  <c r="F56" i="8"/>
  <c r="F41" i="8"/>
  <c r="F39" i="8"/>
  <c r="F215" i="8"/>
  <c r="F40" i="8"/>
  <c r="F51" i="8"/>
  <c r="F161" i="8"/>
  <c r="F88" i="8"/>
  <c r="F91" i="8" s="1"/>
  <c r="I265" i="20"/>
  <c r="K265" i="20" s="1"/>
  <c r="I266" i="20"/>
  <c r="K266" i="20" s="1"/>
  <c r="F157" i="8" l="1"/>
  <c r="F159" i="8"/>
  <c r="F95" i="8"/>
  <c r="F96" i="8"/>
  <c r="F94" i="8"/>
  <c r="F52" i="8"/>
  <c r="F54" i="8"/>
  <c r="F58" i="8"/>
  <c r="F53" i="8"/>
  <c r="F229" i="8"/>
  <c r="F92" i="8"/>
  <c r="K264" i="20"/>
  <c r="K268" i="20" s="1"/>
  <c r="K2" i="20" s="1"/>
  <c r="F188" i="8" l="1"/>
  <c r="F192" i="8" s="1"/>
  <c r="F216" i="8"/>
  <c r="F111" i="8"/>
  <c r="F191" i="8" l="1"/>
  <c r="F196" i="8" s="1"/>
  <c r="F218" i="8" l="1"/>
  <c r="F219" i="8" s="1"/>
  <c r="F210" i="8"/>
  <c r="K344" i="13"/>
  <c r="K354" i="13" s="1"/>
  <c r="K4" i="13" s="1"/>
  <c r="F102" i="8" l="1"/>
  <c r="F100" i="8" s="1"/>
  <c r="F106" i="8" s="1"/>
  <c r="I354" i="13"/>
  <c r="K6" i="13"/>
  <c r="F108" i="8" l="1"/>
  <c r="F109" i="8"/>
  <c r="F107" i="8"/>
  <c r="F223" i="8"/>
  <c r="F112" i="8"/>
  <c r="F230" i="8" l="1"/>
  <c r="F113" i="8"/>
  <c r="F200" i="8" l="1"/>
  <c r="F204" i="8" s="1"/>
  <c r="F225" i="8" l="1"/>
  <c r="F232" i="8"/>
  <c r="K6" i="20" l="1"/>
  <c r="F212" i="8" s="1"/>
  <c r="F211" i="8"/>
  <c r="I339" i="24" l="1"/>
  <c r="D153" i="8" s="1"/>
  <c r="F153" i="8"/>
  <c r="F151" i="8" s="1"/>
  <c r="K4" i="24"/>
  <c r="K6" i="24" s="1"/>
  <c r="F224" i="8" l="1"/>
  <c r="F226" i="8" s="1"/>
  <c r="F156" i="8"/>
  <c r="F162" i="8"/>
  <c r="F231" i="8" l="1"/>
  <c r="F233" i="8" s="1"/>
  <c r="F235" i="8" s="1"/>
  <c r="F158" i="8"/>
  <c r="F163"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<sst xmlns="http://schemas.openxmlformats.org/spreadsheetml/2006/main" count="6658" uniqueCount="1728">
  <si>
    <t>INFORMATION</t>
  </si>
  <si>
    <t xml:space="preserve">Project: </t>
  </si>
  <si>
    <t xml:space="preserve">South Australia Hydrogen and Renewable Energy Restoration Cost Estimation Tool </t>
  </si>
  <si>
    <t xml:space="preserve">Company: </t>
  </si>
  <si>
    <t xml:space="preserve">Site(s): </t>
  </si>
  <si>
    <t>General User Notes:</t>
  </si>
  <si>
    <t>Purpose and Scope:</t>
  </si>
  <si>
    <t>This calculator estimates the cost to decommission and rehabilitate renewable energy projects and includes modules for utility scale PV solar, wind farms, battery energy storage systems (BESS), and green and blue hydrogen facilities. 
The calculator uses a first-principle, bottom calculation method with costs and scopes informed by industry and the calculator developer's experience.
The calculator was commissioned by the South Australian Department for Energy and Mining (DEM).
The developers and DEM hold no liability for the accuracy of the costs estimates and the Calculator does not purport to contain all the information required to estimate the decommissioning liability.</t>
  </si>
  <si>
    <t>Terms and Conditions:</t>
  </si>
  <si>
    <t xml:space="preserve">8. Submission of a rehabilitation liability estimate generated using the calculator does not guarantee acceptance by the department.
9. The department reserves the right to review, verify and amend any estimate, including the inputs provided by the licensee, and/or the resulting calculations generated by the calculator.
10. The third-party rates included in the calculator must not be altered.
11. Licensees may provide alternative unit rates where appropriate, provided sufficient supporting documentation is submitted for the department’s consideration. The department may at its sole discretion, accept or reject any alternative rates.
12. To the maximum extent permitted by law, the department makes no representations or warranties, express or implied, regarding the calculator, including its accuracy, reliability, completeness, performance or fitness for any particular purpose.
13. To the maximum extent permitted by law, the department excludes all liability (whether in negligence or otherwise) for any loss, damage, cost or expense (including direct, indirect, or consequential loss, loss of revenue, profit, contracts or opportunity, and legal costs) incurred by the licensee arising from or in connection with: 
o Use of, or inability to use the calculator;
o reliance on the calculator or is outputs;
o errors or omissions in the calculator or its underlying data; or
o any virus, malicious code or system interference arising from the use of the calculator.
14. The department does not warrant that the calculator will be free from viruses or compatible with the licensee’s systems. Licensees are responsible for implementing appropriate safeguards to protect their systems and data. </t>
  </si>
  <si>
    <t>Navigation:</t>
  </si>
  <si>
    <t>User Guide</t>
  </si>
  <si>
    <t>How to use the tool.</t>
  </si>
  <si>
    <t>Summary</t>
  </si>
  <si>
    <t>Roll-up of total costs.</t>
  </si>
  <si>
    <t>Solar</t>
  </si>
  <si>
    <t>User input sheet for solar farms.</t>
  </si>
  <si>
    <t>Wind</t>
  </si>
  <si>
    <t>User input sheet for wind farms.</t>
  </si>
  <si>
    <t>BESS</t>
  </si>
  <si>
    <t>User input sheet for battery energy storage systems.</t>
  </si>
  <si>
    <t>Green Hydrogen</t>
  </si>
  <si>
    <t>User input sheet for hydrogen generating elements including water. Use wind / solar / BESS for energy source.</t>
  </si>
  <si>
    <t>Cost Schedule</t>
  </si>
  <si>
    <t>Summary of costs for activities.</t>
  </si>
  <si>
    <t>Rates</t>
  </si>
  <si>
    <t>List of base rates for equipment, labour, materials.</t>
  </si>
  <si>
    <t>Productivity</t>
  </si>
  <si>
    <t>Assumptions for earthmoving movement rates, storage capacities, travel speeds.</t>
  </si>
  <si>
    <t>Assumptions</t>
  </si>
  <si>
    <t>General assumptions for material properties (e.g. density), working day hours, specific weights.</t>
  </si>
  <si>
    <t>Panels</t>
  </si>
  <si>
    <t>Specifications for solar panels.</t>
  </si>
  <si>
    <t>Turbines</t>
  </si>
  <si>
    <t>Specifications for wind turbines.</t>
  </si>
  <si>
    <t>Batteries</t>
  </si>
  <si>
    <t>Specifications for battery modules.</t>
  </si>
  <si>
    <t>Revision History:</t>
  </si>
  <si>
    <t>Preliminary early draft for testing by industry.</t>
  </si>
  <si>
    <t>Revised draft incorporating feedback from industry.</t>
  </si>
  <si>
    <t>First complete draft to SA DEM.</t>
  </si>
  <si>
    <t>Revised first draft to fix minor errors.</t>
  </si>
  <si>
    <t>Second complete draft to SA DEM.</t>
  </si>
  <si>
    <t>Minor edits including Terms and Conditions</t>
  </si>
  <si>
    <t>Edits from industry review. Fixed error in drum-km calculation for cables.</t>
  </si>
  <si>
    <t>Final after testing by industry.</t>
  </si>
  <si>
    <t>Minor edits including Terms and Conditions, addition of Use and Scope to Cost Schedule, filled in gaps in Turbine sheet.</t>
  </si>
  <si>
    <t>Return to Information</t>
  </si>
  <si>
    <t>USER GUIDE</t>
  </si>
  <si>
    <t>Tool Overview</t>
  </si>
  <si>
    <t>How to Use: Sequence of Steps</t>
  </si>
  <si>
    <t>The tool has significant flexibility in how it is used. The steps below are one suggested way to create an estimate:</t>
  </si>
  <si>
    <t>#</t>
  </si>
  <si>
    <t>Step instruction</t>
  </si>
  <si>
    <t>Information</t>
  </si>
  <si>
    <t>Review the Terms and Conditions in this sheet.</t>
  </si>
  <si>
    <t>Ensure you understand the purpose, scope and limitations of the calculator.</t>
  </si>
  <si>
    <t>Enter company name and project site(s) and any general notes.</t>
  </si>
  <si>
    <t>Go to the input sheet of the plant type (solar, wind, BESS, green hydrogen, blue hydrogen) you wish to estimate.</t>
  </si>
  <si>
    <t>Enter the quantities to the top left hand side of the sheet, as shown below.</t>
  </si>
  <si>
    <t>You can enter quantities for one site/scenario at a time.</t>
  </si>
  <si>
    <t xml:space="preserve">As you progress through the input sheet there will be other green cells that you can enter values into along the left hand side of the sheet, as shown below. </t>
  </si>
  <si>
    <t>Many quantity entries have an associated drop-down selection as shown below.</t>
  </si>
  <si>
    <t>The calculator populates the appropriate values based on the selections.</t>
  </si>
  <si>
    <t xml:space="preserve">If you wish to enter a user rate to over-ride the default calculator rate, enter your rate </t>
  </si>
  <si>
    <t>as shown below.</t>
  </si>
  <si>
    <t>If you are adding multiple types of plants, continue onto the next input sheet (solar, wind, BESS, green H2, blue H2)</t>
  </si>
  <si>
    <t>and repeat the process.</t>
  </si>
  <si>
    <t>Go to the Summary page to view the total costs of the site/scenarios that were established in the input sheets.</t>
  </si>
  <si>
    <t>There are several reference sheets and the use is shown in the Information tab.</t>
  </si>
  <si>
    <t>Users can enter details for their own equipment in the Panels, Turbines, Batteries, Electrolysers sheets and these will</t>
  </si>
  <si>
    <t xml:space="preserve">then be available for selection in the input sheets, as shown below. </t>
  </si>
  <si>
    <t>e.g., Wind Turbine Selection</t>
  </si>
  <si>
    <t>.</t>
  </si>
  <si>
    <t>How to Use: Input Sheet</t>
  </si>
  <si>
    <t>Summary Sheet</t>
  </si>
  <si>
    <t>Rates Sheet</t>
  </si>
  <si>
    <t>General Information</t>
  </si>
  <si>
    <t>has limited building information, they may chose to enter the by number table. Users can enter to both tables but must not enter the same building to both tables.</t>
  </si>
  <si>
    <t>SUMMARY</t>
  </si>
  <si>
    <t>Quantity</t>
  </si>
  <si>
    <t>Rate</t>
  </si>
  <si>
    <t>Unit</t>
  </si>
  <si>
    <t>Totals</t>
  </si>
  <si>
    <t>Totals and by unit before recycling</t>
  </si>
  <si>
    <t>Total</t>
  </si>
  <si>
    <t>Total without land rehabilitation</t>
  </si>
  <si>
    <t>Total solar panels only</t>
  </si>
  <si>
    <t>Capacity</t>
  </si>
  <si>
    <t>MW</t>
  </si>
  <si>
    <t>Per MW</t>
  </si>
  <si>
    <t>Number of panels</t>
  </si>
  <si>
    <t>panels</t>
  </si>
  <si>
    <t>Per panel</t>
  </si>
  <si>
    <t>Land area</t>
  </si>
  <si>
    <t>hectares</t>
  </si>
  <si>
    <t>Per hectare</t>
  </si>
  <si>
    <t>Cost per panel (solar panel costs only)</t>
  </si>
  <si>
    <t>Recycling</t>
  </si>
  <si>
    <t>Totals and by unit after recycling</t>
  </si>
  <si>
    <t>Number of type</t>
  </si>
  <si>
    <t>Check on sum before recycling</t>
  </si>
  <si>
    <t>Check on sum for recycling</t>
  </si>
  <si>
    <t>Check on sum after recycling</t>
  </si>
  <si>
    <t>Total wind turbines only</t>
  </si>
  <si>
    <t>Number of turbines</t>
  </si>
  <si>
    <t>turbines</t>
  </si>
  <si>
    <t>Per turbine</t>
  </si>
  <si>
    <t>Cost per turbine (wind turbine costs only)</t>
  </si>
  <si>
    <t>Credit per turbine</t>
  </si>
  <si>
    <t>Total BESS modules only</t>
  </si>
  <si>
    <t>Number of units</t>
  </si>
  <si>
    <t>modules</t>
  </si>
  <si>
    <t>Per unit</t>
  </si>
  <si>
    <t>BESS module</t>
  </si>
  <si>
    <t>Cables</t>
  </si>
  <si>
    <t>Total process units only</t>
  </si>
  <si>
    <t>Generation</t>
  </si>
  <si>
    <t>Per MWh</t>
  </si>
  <si>
    <t>electrolysers</t>
  </si>
  <si>
    <t>Land</t>
  </si>
  <si>
    <t>Per module</t>
  </si>
  <si>
    <t>TOTAL OF PORTFOLIO before RECYCLING</t>
  </si>
  <si>
    <t>TOTAL</t>
  </si>
  <si>
    <t>TOTAL OF PORTFOLIO RECYCLING</t>
  </si>
  <si>
    <t>Total of Live</t>
  </si>
  <si>
    <t>TOTAL OF PORTFOLIO after RECYCLING</t>
  </si>
  <si>
    <t>Cost before recycling</t>
  </si>
  <si>
    <t>Recycling credit</t>
  </si>
  <si>
    <t>Summary Page</t>
  </si>
  <si>
    <t>Net cost</t>
  </si>
  <si>
    <t>SOLAR</t>
  </si>
  <si>
    <t>Notes</t>
  </si>
  <si>
    <t>Site area and capacity</t>
  </si>
  <si>
    <t>Site Area</t>
  </si>
  <si>
    <t>ha</t>
  </si>
  <si>
    <t>MW AC</t>
  </si>
  <si>
    <t>Panel model</t>
  </si>
  <si>
    <t>Select make and model</t>
  </si>
  <si>
    <t>Quantity of panels</t>
  </si>
  <si>
    <t>Disconnect grid and diesel generators</t>
  </si>
  <si>
    <t>Item</t>
  </si>
  <si>
    <t>Value</t>
  </si>
  <si>
    <t>User rate</t>
  </si>
  <si>
    <t>Rate Selected</t>
  </si>
  <si>
    <t>Rate Unit</t>
  </si>
  <si>
    <t>Cost</t>
  </si>
  <si>
    <t xml:space="preserve">sites </t>
  </si>
  <si>
    <t>site</t>
  </si>
  <si>
    <t>Cost to disconnect grid - rate</t>
  </si>
  <si>
    <t>site              total</t>
  </si>
  <si>
    <t>Electrical cables</t>
  </si>
  <si>
    <t>Select</t>
  </si>
  <si>
    <t>Gate fee for cabling is assumed zero and can be credited in recycling.</t>
  </si>
  <si>
    <t>Disconnect and remove DC stringer cables</t>
  </si>
  <si>
    <t>km</t>
  </si>
  <si>
    <t>DC Cables - string - 4mm2</t>
  </si>
  <si>
    <t>DC Cables - string - 6mm2</t>
  </si>
  <si>
    <t>Disconnect and remove DC feeder cables (above ground)</t>
  </si>
  <si>
    <t>DC Cables - feeder - single core 35mm2 above ground</t>
  </si>
  <si>
    <t>Disconnect and remove DC feeder cables (below ground)</t>
  </si>
  <si>
    <t>DC Cables - feeder - single core 185mm2 above ground</t>
  </si>
  <si>
    <t>DC Cables - feeder - single core 630mm3 above ground</t>
  </si>
  <si>
    <t>Disconnect and remove AC cables</t>
  </si>
  <si>
    <t>AC Low Voltage Cable</t>
  </si>
  <si>
    <t>AC medium Voltage Cable</t>
  </si>
  <si>
    <t>Disconnect and remove fibre/control cables</t>
  </si>
  <si>
    <t>Fibre/Control Cable - 0.75mm2</t>
  </si>
  <si>
    <t>Transport DC stringer cables</t>
  </si>
  <si>
    <t>t-km</t>
  </si>
  <si>
    <t>Haul and unload copper cables &gt; 10 to &lt;= 15 km</t>
  </si>
  <si>
    <t>Transport DC feeder cables</t>
  </si>
  <si>
    <t>drum-km</t>
  </si>
  <si>
    <t>Haul and unload cable drums &gt; 10 to &lt;= 15 km</t>
  </si>
  <si>
    <t>Transport AC cables</t>
  </si>
  <si>
    <t>Transport fibre/control cables</t>
  </si>
  <si>
    <t>Cost to remove cables - rate</t>
  </si>
  <si>
    <t>km               total</t>
  </si>
  <si>
    <t>Powerlines</t>
  </si>
  <si>
    <t>Remove powerlines</t>
  </si>
  <si>
    <t>Cost to remove powerlines - rate</t>
  </si>
  <si>
    <t>Meteorological masts and communications towers</t>
  </si>
  <si>
    <t>Remove met masts</t>
  </si>
  <si>
    <t>masts</t>
  </si>
  <si>
    <t>mast</t>
  </si>
  <si>
    <t>Remove communications towers</t>
  </si>
  <si>
    <t>towers</t>
  </si>
  <si>
    <t>tower</t>
  </si>
  <si>
    <t>structures</t>
  </si>
  <si>
    <t>Cost to remove met masts and communications towers - rate</t>
  </si>
  <si>
    <t>structures    total</t>
  </si>
  <si>
    <t>Substations</t>
  </si>
  <si>
    <t>Remove substation</t>
  </si>
  <si>
    <t>substations</t>
  </si>
  <si>
    <t>Small substation of footprint 1000m2</t>
  </si>
  <si>
    <t>substation</t>
  </si>
  <si>
    <t>Cost to remove substation - rate</t>
  </si>
  <si>
    <t>substation   total</t>
  </si>
  <si>
    <t>Inverters and power conditioners</t>
  </si>
  <si>
    <t>Disconnect and remove inverters</t>
  </si>
  <si>
    <t>units</t>
  </si>
  <si>
    <t>unit</t>
  </si>
  <si>
    <t>Disconnect and remove power conditioners</t>
  </si>
  <si>
    <t>Cost to remove inverters and power conditioners - rate</t>
  </si>
  <si>
    <t>unit              total</t>
  </si>
  <si>
    <t>Solar panels - removal and transport</t>
  </si>
  <si>
    <t>panel</t>
  </si>
  <si>
    <t>Transport panels</t>
  </si>
  <si>
    <t>panel-km</t>
  </si>
  <si>
    <t>Haul and unload solar panels &gt; 250 km</t>
  </si>
  <si>
    <t>Cost to remove, load and transport panels - rate</t>
  </si>
  <si>
    <t>panel           total</t>
  </si>
  <si>
    <t>Tracks and roads</t>
  </si>
  <si>
    <t>Remove tracks, roads 1</t>
  </si>
  <si>
    <t>Earthern Track / Road - single width</t>
  </si>
  <si>
    <t>Pasture</t>
  </si>
  <si>
    <t>Remove tracks, roads 2</t>
  </si>
  <si>
    <t>Native</t>
  </si>
  <si>
    <t>Remove tracks, roads 3</t>
  </si>
  <si>
    <t>Bitumen Track / Road - single width</t>
  </si>
  <si>
    <t>Remove tracks, roads 4</t>
  </si>
  <si>
    <t>Earthern Track / Road - double width</t>
  </si>
  <si>
    <t>Remove tracks, roads 5</t>
  </si>
  <si>
    <t>Remove tracks, roads 6</t>
  </si>
  <si>
    <t>Remove tracks, roads 7</t>
  </si>
  <si>
    <t>Gravel / Rock Track / Road - single width</t>
  </si>
  <si>
    <t>Arid</t>
  </si>
  <si>
    <t>Remove tracks, roads 8</t>
  </si>
  <si>
    <t>Remove tracks, roads 9</t>
  </si>
  <si>
    <t>Remove tracks, roads 10</t>
  </si>
  <si>
    <t>Gravel Rock Track / Road - double width</t>
  </si>
  <si>
    <t>Remove tracks, roads 11</t>
  </si>
  <si>
    <t>Remove tracks, roads 12</t>
  </si>
  <si>
    <t>Remove tracks, roads 13</t>
  </si>
  <si>
    <t>Remove tracks, roads 14</t>
  </si>
  <si>
    <t>Remove tracks, roads 15</t>
  </si>
  <si>
    <t>Remove tracks, roads 16</t>
  </si>
  <si>
    <t>Bitumen Track / Road - double width</t>
  </si>
  <si>
    <t>Remove tracks, roads 17</t>
  </si>
  <si>
    <t>Remove tracks, roads 18</t>
  </si>
  <si>
    <t>Cost to remove tracks and roads - rate</t>
  </si>
  <si>
    <t>ha                total</t>
  </si>
  <si>
    <t>Laydown</t>
  </si>
  <si>
    <t>Laydown area 1</t>
  </si>
  <si>
    <t>Laydown / Park-up Earthen</t>
  </si>
  <si>
    <t>Laydown area 2</t>
  </si>
  <si>
    <t>Laydown / Park-up Gravel / Rock</t>
  </si>
  <si>
    <t>Laydown area 3</t>
  </si>
  <si>
    <t>Laydown / Park-up Bitumen</t>
  </si>
  <si>
    <t>Laydown area 4</t>
  </si>
  <si>
    <t>Laydown area 5</t>
  </si>
  <si>
    <t>Laydown area 6</t>
  </si>
  <si>
    <t>Laydown area 7</t>
  </si>
  <si>
    <t>Laydown area 8</t>
  </si>
  <si>
    <t>Laydown area 9</t>
  </si>
  <si>
    <t>Cost to remove laydown - rate</t>
  </si>
  <si>
    <t>Airstrips</t>
  </si>
  <si>
    <t>Airstrip 1</t>
  </si>
  <si>
    <t>Airstrip with gravel / rock cover</t>
  </si>
  <si>
    <t>Airstrip 2</t>
  </si>
  <si>
    <t>Airstrip with no cover</t>
  </si>
  <si>
    <t>Cost to remove airstrips - rate</t>
  </si>
  <si>
    <t>Buildings by area</t>
  </si>
  <si>
    <t>For multi-storey buildings, enter product of floor area and # of floors.</t>
  </si>
  <si>
    <t>Building 1</t>
  </si>
  <si>
    <t>Small, Brick wall, Steel roof, Concrete floor</t>
  </si>
  <si>
    <t>Building 2</t>
  </si>
  <si>
    <t>Large, Brick wall, Steel roof, Concrete floor</t>
  </si>
  <si>
    <t>Building 3</t>
  </si>
  <si>
    <t>Large, Steel wall, Steel roof, Concrete floor</t>
  </si>
  <si>
    <t>Building 4</t>
  </si>
  <si>
    <t>Small, Steel wall, Steel roof, Concrete floor</t>
  </si>
  <si>
    <t>Building 5</t>
  </si>
  <si>
    <t>Large, Steel wall, Steel roof, Concrete floor, multi-storey</t>
  </si>
  <si>
    <t>m2</t>
  </si>
  <si>
    <t>Cost to remove buildings - rate</t>
  </si>
  <si>
    <t>m2               total</t>
  </si>
  <si>
    <t>Buildings by number</t>
  </si>
  <si>
    <t>Remove building 1</t>
  </si>
  <si>
    <t>Amenities room</t>
  </si>
  <si>
    <t>Remove building 2</t>
  </si>
  <si>
    <t>Portable</t>
  </si>
  <si>
    <t>Remove building 3</t>
  </si>
  <si>
    <t>Switchroom</t>
  </si>
  <si>
    <t>Remove building 4</t>
  </si>
  <si>
    <t>Control Room</t>
  </si>
  <si>
    <t>Remove building 5</t>
  </si>
  <si>
    <t>buildings</t>
  </si>
  <si>
    <t>building       total</t>
  </si>
  <si>
    <t>Land rehabilitation - growth media</t>
  </si>
  <si>
    <t>Land area 1</t>
  </si>
  <si>
    <t>Land area 2</t>
  </si>
  <si>
    <t>Land area 3</t>
  </si>
  <si>
    <t>Land area 4</t>
  </si>
  <si>
    <t>Land area 5</t>
  </si>
  <si>
    <t>Total land area</t>
  </si>
  <si>
    <t xml:space="preserve">Proportion to rehabilitate </t>
  </si>
  <si>
    <t xml:space="preserve">Area of site to rehabilitate </t>
  </si>
  <si>
    <t>Thickness (default)</t>
  </si>
  <si>
    <t>m</t>
  </si>
  <si>
    <t>Thickness (user)</t>
  </si>
  <si>
    <t>Volume</t>
  </si>
  <si>
    <t>m3</t>
  </si>
  <si>
    <t>Proportion sourced locally</t>
  </si>
  <si>
    <t>Enter to over-ride default</t>
  </si>
  <si>
    <t>Load, haul from local site, dump and spread</t>
  </si>
  <si>
    <t>Load, Haul, Dump Soil / Growth Media around Site (small fleet) &gt;1000 m to ≤1500 m</t>
  </si>
  <si>
    <t>Purchased if not local</t>
  </si>
  <si>
    <t>Transport from off-site if not local</t>
  </si>
  <si>
    <t>m3-km</t>
  </si>
  <si>
    <t>Load, Haul, Dump soil / ameliorants from off-site &gt; 10 to &lt;= 15 km</t>
  </si>
  <si>
    <t>Cost of growth media - rate</t>
  </si>
  <si>
    <t>Land rehabilitation - ameliorants</t>
  </si>
  <si>
    <t>Proportion requiring ameliorants</t>
  </si>
  <si>
    <t>Area of site requiring ameliorants</t>
  </si>
  <si>
    <t>Application rate</t>
  </si>
  <si>
    <t>t/ha</t>
  </si>
  <si>
    <t>Purchase ameliorants</t>
  </si>
  <si>
    <t>t</t>
  </si>
  <si>
    <t>Gypsum</t>
  </si>
  <si>
    <t>Load and haul ameliorants</t>
  </si>
  <si>
    <t>Load, Haul, Dump soil / ameliorants from off-site &gt; 20 to &lt;= 25 km</t>
  </si>
  <si>
    <t>Apply ameliorants</t>
  </si>
  <si>
    <t>Cost of ameliorants - rate</t>
  </si>
  <si>
    <t>ha               total</t>
  </si>
  <si>
    <t>Land rehabilitation - revegetation</t>
  </si>
  <si>
    <t>Proportion requiring revegetation</t>
  </si>
  <si>
    <t>Area of site requiring revegetation</t>
  </si>
  <si>
    <t>Dozer applied Pasture seed</t>
  </si>
  <si>
    <t>Cost of revegetation - rate</t>
  </si>
  <si>
    <t>Solar panel disposal</t>
  </si>
  <si>
    <t>Distance (average)</t>
  </si>
  <si>
    <t>Load and haul waste</t>
  </si>
  <si>
    <t>Haul and unload solar panels &gt; 35 to &lt;= 40 km</t>
  </si>
  <si>
    <t>Disposal gate fee</t>
  </si>
  <si>
    <t>Disposal (gate fee) - solar panel</t>
  </si>
  <si>
    <t>Waste levy</t>
  </si>
  <si>
    <t>Waste levy (non-metropolitan solid waste)</t>
  </si>
  <si>
    <t>Cost of solar panel disposal - rate</t>
  </si>
  <si>
    <t>Solar panel recycling (cost - not scrap)</t>
  </si>
  <si>
    <t>Haul and unload solar panels &gt; 60 to &lt;= 70 km</t>
  </si>
  <si>
    <t>Recycling (gate fee) - solar panel</t>
  </si>
  <si>
    <t>Waste levy (Non-Metropolitan Solid Waste)</t>
  </si>
  <si>
    <t>Cost of solar panel recycling - rate</t>
  </si>
  <si>
    <t>Concrete crushing</t>
  </si>
  <si>
    <t xml:space="preserve">Use this table if concrete will be crushed on-site. </t>
  </si>
  <si>
    <t>Foundations</t>
  </si>
  <si>
    <t>Car parking</t>
  </si>
  <si>
    <t>Additional line item - user to name activity</t>
  </si>
  <si>
    <t>Total area</t>
  </si>
  <si>
    <t>Enter thickness to inputs to right if wish to override the default thickness.</t>
  </si>
  <si>
    <t>User entered volume override</t>
  </si>
  <si>
    <t>Enter volume on inputs to right if wish to override the calculated volume.</t>
  </si>
  <si>
    <t>Total volume</t>
  </si>
  <si>
    <t>Load and haul to crusher</t>
  </si>
  <si>
    <t>Load, Haul, Dump Bitumen / Concrete / Stabilised Materials around Site (small fleet) ≤ 200 m</t>
  </si>
  <si>
    <t>Crush concrete</t>
  </si>
  <si>
    <t xml:space="preserve">Concrete crush to 75mm </t>
  </si>
  <si>
    <t>Load, haul and place around site</t>
  </si>
  <si>
    <t>Load, Haul, Dump Bitumen / Concrete / Stabilised Materials around Site (small fleet) &gt;200 m to ≤500 m</t>
  </si>
  <si>
    <t>Cost of concrete crushing - rate</t>
  </si>
  <si>
    <t>m3               total</t>
  </si>
  <si>
    <t>Disposal of construction debris including concrete not part of items above</t>
  </si>
  <si>
    <t>Quantity of waste construction debris</t>
  </si>
  <si>
    <t>Load, Haul, Dump Concrete Rubble from off-site &gt; 15 to &lt;= 20 km</t>
  </si>
  <si>
    <t>Cost of construction debris disposal by mass - rate</t>
  </si>
  <si>
    <t>t                   total</t>
  </si>
  <si>
    <t>Disposal of steel not part of items above</t>
  </si>
  <si>
    <t>Quantity of waste steel</t>
  </si>
  <si>
    <t>Load, Haul, Dump Scrap Steel from off-site &gt; 20 to &lt;= 25 km</t>
  </si>
  <si>
    <t>Disposal (gate fee) steel</t>
  </si>
  <si>
    <t>Cost of steel disposal by mass - rate</t>
  </si>
  <si>
    <t>Disposal of soil (by mass)</t>
  </si>
  <si>
    <t>This table is for any contaminated soil on the site.</t>
  </si>
  <si>
    <t>Quantity of waste soil</t>
  </si>
  <si>
    <t>Cost of soil disposal by mass - rate</t>
  </si>
  <si>
    <t>Mobilisation</t>
  </si>
  <si>
    <t>Fleet 1</t>
  </si>
  <si>
    <t>fleets</t>
  </si>
  <si>
    <t>Solar fleet &lt;= 150 km</t>
  </si>
  <si>
    <t>fleet</t>
  </si>
  <si>
    <t>Fleet 2</t>
  </si>
  <si>
    <t>Electrical fleet &lt;= 150 km</t>
  </si>
  <si>
    <t>Fleet 3</t>
  </si>
  <si>
    <t>Land fleet &lt;= 150 km</t>
  </si>
  <si>
    <t>Cost of mobilisation - rate</t>
  </si>
  <si>
    <t>fleet             total</t>
  </si>
  <si>
    <t>Reporting and documentation</t>
  </si>
  <si>
    <t>items</t>
  </si>
  <si>
    <t>plan</t>
  </si>
  <si>
    <t>Engineering</t>
  </si>
  <si>
    <t>item</t>
  </si>
  <si>
    <t>Miscellaneous planning</t>
  </si>
  <si>
    <t>Cost of reporting and documentation - rate</t>
  </si>
  <si>
    <t>item             total</t>
  </si>
  <si>
    <t>User entered additional items</t>
  </si>
  <si>
    <t>Add Description, quantity (value), unit, and rate</t>
  </si>
  <si>
    <t>Cost of additional items</t>
  </si>
  <si>
    <t xml:space="preserve">                   total</t>
  </si>
  <si>
    <t>Project costs</t>
  </si>
  <si>
    <t>Default</t>
  </si>
  <si>
    <t>User</t>
  </si>
  <si>
    <t>Cost Basis</t>
  </si>
  <si>
    <t>Project management</t>
  </si>
  <si>
    <t>Enter value if wish to override default</t>
  </si>
  <si>
    <t>Ongoing monitoring</t>
  </si>
  <si>
    <t>Contingency</t>
  </si>
  <si>
    <t>Mass (%)</t>
  </si>
  <si>
    <t>Mass (kg total)</t>
  </si>
  <si>
    <t>Select / Notes</t>
  </si>
  <si>
    <t>Model</t>
  </si>
  <si>
    <t>kg</t>
  </si>
  <si>
    <t>Total benefit from recycling panels</t>
  </si>
  <si>
    <t>Frames</t>
  </si>
  <si>
    <t>Mass (t/panel)</t>
  </si>
  <si>
    <t>Mass (t total)</t>
  </si>
  <si>
    <t>Mass</t>
  </si>
  <si>
    <t>Total benefit from frames</t>
  </si>
  <si>
    <t>Length (km)</t>
  </si>
  <si>
    <t>Copper</t>
  </si>
  <si>
    <t>Aluminium</t>
  </si>
  <si>
    <t>Total benefit from cables</t>
  </si>
  <si>
    <t>WIND</t>
  </si>
  <si>
    <t>Turbine model</t>
  </si>
  <si>
    <t>Windy Hill, Atherton (0.5MW)</t>
  </si>
  <si>
    <t>Quantity of turbines</t>
  </si>
  <si>
    <t>Fibre/Control Cable - 1.5mm2</t>
  </si>
  <si>
    <t>Disconnect and remove MV AC collection system</t>
  </si>
  <si>
    <t>MV AC Cables - 3 core 150mm2</t>
  </si>
  <si>
    <t>Disconnect and remove LV cables</t>
  </si>
  <si>
    <t>LV Cables - 3 core 25mm2</t>
  </si>
  <si>
    <t>Transport MV AC collection system</t>
  </si>
  <si>
    <t>Transport LV cables</t>
  </si>
  <si>
    <t>km              total</t>
  </si>
  <si>
    <t>Meteorological masts</t>
  </si>
  <si>
    <t>Cost to remove met masts - rate</t>
  </si>
  <si>
    <t>mast            total</t>
  </si>
  <si>
    <t>Cost to remove substations - rate</t>
  </si>
  <si>
    <t>Converters and power conditioners</t>
  </si>
  <si>
    <t>Disconnect and remove converters</t>
  </si>
  <si>
    <t>Cost to remove converters and power conditioners - rate</t>
  </si>
  <si>
    <t>unit             total</t>
  </si>
  <si>
    <t>Wind turbines - gearbox oil</t>
  </si>
  <si>
    <t>Volume of oil per turbine</t>
  </si>
  <si>
    <t>Volume of oil all turbines, removal</t>
  </si>
  <si>
    <t>kL</t>
  </si>
  <si>
    <t>Load, Haul, Dump Oil from off-site &gt; 10 to &lt;= 15 km</t>
  </si>
  <si>
    <t>kL-km</t>
  </si>
  <si>
    <t>Disposal (gate fee) oil</t>
  </si>
  <si>
    <t>Cost of oil disposal by volume - rate</t>
  </si>
  <si>
    <t>kL               total</t>
  </si>
  <si>
    <t>Cost of oil disposal by turbine - rate</t>
  </si>
  <si>
    <t>turbine</t>
  </si>
  <si>
    <t>Wind turbines - rotor (blades and hub)</t>
  </si>
  <si>
    <t>Rotors</t>
  </si>
  <si>
    <t>rotors</t>
  </si>
  <si>
    <t>Remove rotors</t>
  </si>
  <si>
    <t>Large turbine</t>
  </si>
  <si>
    <t>rotor</t>
  </si>
  <si>
    <t>Remove blades from hub</t>
  </si>
  <si>
    <t>set of 3 blades</t>
  </si>
  <si>
    <t>Blade mass per turbine (all three blades)</t>
  </si>
  <si>
    <t>Blade mass all turbines</t>
  </si>
  <si>
    <t>Haul and unload blades and hub &gt; 45 to &lt;= 50 km</t>
  </si>
  <si>
    <t>Load and haul turbines</t>
  </si>
  <si>
    <t>rotor-km</t>
  </si>
  <si>
    <t>Disposal (gate fee) - wind turbine blade</t>
  </si>
  <si>
    <t>Cost of rotor removal and disposal - rate</t>
  </si>
  <si>
    <t>turbine        total</t>
  </si>
  <si>
    <t>Wind turbines - nacelle</t>
  </si>
  <si>
    <t>Nacelles</t>
  </si>
  <si>
    <t>nacelles</t>
  </si>
  <si>
    <t>Remove nacelles</t>
  </si>
  <si>
    <t>nacelle</t>
  </si>
  <si>
    <t>Nacelle mass</t>
  </si>
  <si>
    <t>Nacelle mass all turbines</t>
  </si>
  <si>
    <t>nacelle-km</t>
  </si>
  <si>
    <t>Haul and unload nacelles &gt; 25 to &lt;= 30 km</t>
  </si>
  <si>
    <t>Cost of nacelle removal and disposal - rate</t>
  </si>
  <si>
    <t>Wind turbines - tower</t>
  </si>
  <si>
    <t>Tower mass</t>
  </si>
  <si>
    <t>Tower mass all turbines</t>
  </si>
  <si>
    <t>Cost of tower removal and disposal - rate</t>
  </si>
  <si>
    <t>Wind turbines - foundations</t>
  </si>
  <si>
    <t>Assumes concrete is disposed off-site. Use concrete crushing</t>
  </si>
  <si>
    <t>Area of concrete foundation</t>
  </si>
  <si>
    <t>m2/turbine</t>
  </si>
  <si>
    <t xml:space="preserve">table if concrete will be crushed on-site. </t>
  </si>
  <si>
    <t>Thickness of concrete foundation</t>
  </si>
  <si>
    <t>Thickness to demolish</t>
  </si>
  <si>
    <t>Break up concrete</t>
  </si>
  <si>
    <t>m3 all turbines</t>
  </si>
  <si>
    <t>Mass of concrete all turbines, demolition</t>
  </si>
  <si>
    <t>t all turbines</t>
  </si>
  <si>
    <t>Load and haul concrete</t>
  </si>
  <si>
    <t>Load, Haul, Dump Concrete Rubble from off-site &gt; 40 to &lt;= 45 km</t>
  </si>
  <si>
    <t>This example concrete is crushed</t>
  </si>
  <si>
    <t>Bolt removal</t>
  </si>
  <si>
    <t>bolts/turbine</t>
  </si>
  <si>
    <t>bolts</t>
  </si>
  <si>
    <t>Cost of foundation demolition and disposal - rate</t>
  </si>
  <si>
    <t>t                  total</t>
  </si>
  <si>
    <t>If infrastructure is to be retained by landowner, either set quantities to zero or show quantities and set User Rate to zero. Users are encouraged to explain below.</t>
  </si>
  <si>
    <t>Laydown area 10</t>
  </si>
  <si>
    <t>m2              total</t>
  </si>
  <si>
    <t>Load, Haul, Dump Soil / Growth Media around Site (small fleet) &gt; 6000 m</t>
  </si>
  <si>
    <t>Apply/spread ameliorants</t>
  </si>
  <si>
    <t>Cost of soil ameliorants - rate</t>
  </si>
  <si>
    <t>Dozer applied Native seed</t>
  </si>
  <si>
    <t xml:space="preserve">t </t>
  </si>
  <si>
    <t>Total mass</t>
  </si>
  <si>
    <t>Load, Haul, Dump Bitumen / Concrete / Stabilised Materials around Site (small fleet) &gt;500 m to ≤1000 m</t>
  </si>
  <si>
    <t>Disposal of construction debris including concrete of items not included above (by mass)</t>
  </si>
  <si>
    <t>Load, Haul, Dump Concrete Rubble from off-site &gt; 10 to &lt;= 15 km</t>
  </si>
  <si>
    <t>t                 total</t>
  </si>
  <si>
    <t>Disposal of steel of items not included above (by mass)</t>
  </si>
  <si>
    <t>Disposal of contaminated soil (by mass)</t>
  </si>
  <si>
    <t>Wind fleet &lt;= 150 km</t>
  </si>
  <si>
    <t xml:space="preserve">                  total</t>
  </si>
  <si>
    <t>Wind Turbines - Recycling</t>
  </si>
  <si>
    <t>Mass (total)</t>
  </si>
  <si>
    <t>Steel and Iron</t>
  </si>
  <si>
    <t>Copper and Alloys</t>
  </si>
  <si>
    <t>Aluminium and Alloys</t>
  </si>
  <si>
    <t>Electronics/Electrics</t>
  </si>
  <si>
    <t>Lubricants and Fluids</t>
  </si>
  <si>
    <t>Glass/Carbon Composites</t>
  </si>
  <si>
    <t>Polymer Materials</t>
  </si>
  <si>
    <t>Total benefit from recycling turbines</t>
  </si>
  <si>
    <t xml:space="preserve"> </t>
  </si>
  <si>
    <t>MWh</t>
  </si>
  <si>
    <t>Battery model</t>
  </si>
  <si>
    <t>site             total</t>
  </si>
  <si>
    <t>Haul and unload copper cables &gt; 5 to &lt;= 10 km</t>
  </si>
  <si>
    <t>Haul and unload cable drums &gt; 25 to &lt;= 30 km</t>
  </si>
  <si>
    <t>Inverters and transformers</t>
  </si>
  <si>
    <t>kilolitres</t>
  </si>
  <si>
    <t>module</t>
  </si>
  <si>
    <t>Disconnect and remove transformers</t>
  </si>
  <si>
    <t>Load and transport modules</t>
  </si>
  <si>
    <t>unit-km</t>
  </si>
  <si>
    <t>Load, Haul, Dump Modules from off-site &gt; 10 to &lt;= 15 km</t>
  </si>
  <si>
    <t>module-km</t>
  </si>
  <si>
    <t>Cut-up, remove, load and transport steel and electrical</t>
  </si>
  <si>
    <t>Remove, load and transport incidental waste</t>
  </si>
  <si>
    <t>Cost to remove inverters and transformers - rate</t>
  </si>
  <si>
    <t>BESS - removal and transport</t>
  </si>
  <si>
    <t>Disconnect and remove modules</t>
  </si>
  <si>
    <t>Cost to remove, load and transport modules - rate</t>
  </si>
  <si>
    <t>module        total</t>
  </si>
  <si>
    <t>Concrete slab and foundations for BESS and inverters</t>
  </si>
  <si>
    <t>Break up concrete foundation and footings</t>
  </si>
  <si>
    <t>m2 all modules</t>
  </si>
  <si>
    <t>mm</t>
  </si>
  <si>
    <t>Volume of concrete</t>
  </si>
  <si>
    <t>Mass of concrete</t>
  </si>
  <si>
    <t>t all modules</t>
  </si>
  <si>
    <t>Load, Haul, Dump Soil / Growth Media around Site (small fleet) &gt;500 m to ≤1000 m</t>
  </si>
  <si>
    <t>Lime</t>
  </si>
  <si>
    <t>BESS disposal</t>
  </si>
  <si>
    <t>Quantity of modules</t>
  </si>
  <si>
    <t>Storage fee - batteries</t>
  </si>
  <si>
    <t>Cost of BESS disposal - rate</t>
  </si>
  <si>
    <t>BESS recycling (costs not credits)</t>
  </si>
  <si>
    <t>Load, Haul, Dump Modules from off-site &gt; 5 to &lt;= 10 km</t>
  </si>
  <si>
    <t>Recycling (gate fee) - batteries</t>
  </si>
  <si>
    <t>Cost of BESS recycling - rate</t>
  </si>
  <si>
    <t xml:space="preserve">Concrete crush to 50mm </t>
  </si>
  <si>
    <t>BESS / H2 fleet &lt;= 150 km</t>
  </si>
  <si>
    <t>Electrical fleet &gt;150 &lt;= 500 km</t>
  </si>
  <si>
    <t>Land fleet &gt;150 &lt;= 500 km</t>
  </si>
  <si>
    <t>GREEN HYDROGEN</t>
  </si>
  <si>
    <t>Site Area (green H2 only)</t>
  </si>
  <si>
    <t>t H2 / day</t>
  </si>
  <si>
    <t>Electrolyser capacity</t>
  </si>
  <si>
    <t>Electrolyser model</t>
  </si>
  <si>
    <t>Water requirement</t>
  </si>
  <si>
    <t>ML/day</t>
  </si>
  <si>
    <t>Disconnect power supply and diesel generators</t>
  </si>
  <si>
    <t>generators</t>
  </si>
  <si>
    <t>Depressurise and remove residual hydrogen gas</t>
  </si>
  <si>
    <t>plant</t>
  </si>
  <si>
    <t>plant               total</t>
  </si>
  <si>
    <t>Drain, remove and transport electrolysers</t>
  </si>
  <si>
    <t>kL total all modules</t>
  </si>
  <si>
    <t>20' container all modules</t>
  </si>
  <si>
    <t>container</t>
  </si>
  <si>
    <t>40' container all modules</t>
  </si>
  <si>
    <t>Transport containers</t>
  </si>
  <si>
    <t>Drain, remove and transport water supply and purification</t>
  </si>
  <si>
    <t xml:space="preserve">Water demand </t>
  </si>
  <si>
    <t>ML all modules</t>
  </si>
  <si>
    <t>Reverse osmosis units disconnect and load</t>
  </si>
  <si>
    <t># per plant</t>
  </si>
  <si>
    <t>Reverse osmosis units transport</t>
  </si>
  <si>
    <t>all units</t>
  </si>
  <si>
    <t>Remove and transport hydrogen compressors</t>
  </si>
  <si>
    <t>Number of compressors</t>
  </si>
  <si>
    <t>compressors</t>
  </si>
  <si>
    <t>compress</t>
  </si>
  <si>
    <t>Average distance to travel</t>
  </si>
  <si>
    <t>Compressor remove and load</t>
  </si>
  <si>
    <t>Demolish hydrogen storage tanks</t>
  </si>
  <si>
    <t>tanks</t>
  </si>
  <si>
    <t>tank</t>
  </si>
  <si>
    <t>tank        total</t>
  </si>
  <si>
    <t>Decommission tracks and roads and rehabilitate</t>
  </si>
  <si>
    <t>Decommission laydown areas and rehabilitate</t>
  </si>
  <si>
    <t>Decommission airstrips and rehabilitate</t>
  </si>
  <si>
    <t>Demolish / remove buildings (by area)</t>
  </si>
  <si>
    <t>Demolish / remove buildings (by number)</t>
  </si>
  <si>
    <t>Apply growth media to rehabilitate land</t>
  </si>
  <si>
    <t xml:space="preserve">Apply ameliorants to rehabilitate land </t>
  </si>
  <si>
    <t xml:space="preserve">Revegetate to rehabilitate land </t>
  </si>
  <si>
    <t>Load, Haul, Dump Bitumen / Concrete / Stabilised Materials around Site (small fleet) &gt;1500 m to ≤2000 m</t>
  </si>
  <si>
    <t>Dispose construction debris including concrete not part of items above</t>
  </si>
  <si>
    <t>Dispose of steel not part of items above</t>
  </si>
  <si>
    <t>Dispose of soil (by mass)</t>
  </si>
  <si>
    <t>Report and document</t>
  </si>
  <si>
    <t>Electrolyser</t>
  </si>
  <si>
    <t>Use</t>
  </si>
  <si>
    <t>Scope</t>
  </si>
  <si>
    <t>Ameliorants</t>
  </si>
  <si>
    <t>Enter volume of liquids to be managed.</t>
  </si>
  <si>
    <t>Enter number of battery modules to be removed and transported off-site.</t>
  </si>
  <si>
    <t>Enter area of concrete slab to be demolished and disposed off-site.</t>
  </si>
  <si>
    <t>Enter number of BESS modules to be managed.</t>
  </si>
  <si>
    <t>$/unit</t>
  </si>
  <si>
    <t>Enter number of inverters to be managed.</t>
  </si>
  <si>
    <t>Enter number of transformers to be managed.</t>
  </si>
  <si>
    <t>Buildings by Area</t>
  </si>
  <si>
    <t>Enter footprint of building to be demolished.</t>
  </si>
  <si>
    <t>Enter product of footprint and number of floors of building to be demolished.</t>
  </si>
  <si>
    <t>Buildings by Number</t>
  </si>
  <si>
    <t>Enter number of buildings to be removed.</t>
  </si>
  <si>
    <t>Concrete Crushing</t>
  </si>
  <si>
    <t>tonne</t>
  </si>
  <si>
    <t>Enter mass of concrete to be crushed to shown size. Management of concrete for buildings and plants is included in those rates and does not need to be added again here.</t>
  </si>
  <si>
    <t xml:space="preserve">Depressurise </t>
  </si>
  <si>
    <t>Enter number of green hydrogen plants in shown range to be depressurised.</t>
  </si>
  <si>
    <t>Allowance</t>
  </si>
  <si>
    <t xml:space="preserve">Disconnect Grid / Utilities </t>
  </si>
  <si>
    <t>Enter number of sites requiring disconnection from the grid and other utilities.</t>
  </si>
  <si>
    <t>Fleet of electricians, mechanical and general labour.</t>
  </si>
  <si>
    <t>Enter number of wind turbines requiring disconnection.</t>
  </si>
  <si>
    <t>Enter number of green hydrogen plants requiring disconnection.</t>
  </si>
  <si>
    <t>Enter number of diesel generators to be removed from the site.</t>
  </si>
  <si>
    <t>Fleet of electrician, mechanical labour, crane and flatbed truck.</t>
  </si>
  <si>
    <t>Electrical Cabling</t>
  </si>
  <si>
    <t>Enter the length of cable of shown type and area.</t>
  </si>
  <si>
    <t>Enter the volume of liquids to be removed from the green hydrogen plant.</t>
  </si>
  <si>
    <t>20 ftcontainer</t>
  </si>
  <si>
    <t>Enter the number of containers of shown size to be removed.</t>
  </si>
  <si>
    <t>40 ftcontainer</t>
  </si>
  <si>
    <t>Disconnect and remove reverse osmosis container</t>
  </si>
  <si>
    <t>40 ft container</t>
  </si>
  <si>
    <t>Enter the number of water treatment plant containers to be removed.</t>
  </si>
  <si>
    <t>Disconnect and remove hydrogen compressor</t>
  </si>
  <si>
    <t>compressor</t>
  </si>
  <si>
    <t>Enter the number of hydrogen compressors to be removed.</t>
  </si>
  <si>
    <t>Enter the number of tanks of shown type and size to be removed.</t>
  </si>
  <si>
    <t>Haul and unload panels</t>
  </si>
  <si>
    <t>Select the one-way distance that solar panels will be transported for disposal or recycling.</t>
  </si>
  <si>
    <t>Haul and unload rotor (blades and hub)</t>
  </si>
  <si>
    <t>Select the one-way distance that wind turbine blades will be transported for disposal or recycling.</t>
  </si>
  <si>
    <t>Haul and unload nacelles</t>
  </si>
  <si>
    <t>Select the one-way distance that wind turbine nacelles will be transported for disposal or recycling.</t>
  </si>
  <si>
    <t>Haul and unload copper cables</t>
  </si>
  <si>
    <t>Select the one-way distance that electrical cables will be transported for recycling.</t>
  </si>
  <si>
    <t>Haul and unload cable drums</t>
  </si>
  <si>
    <t>Select the one-way distance that cable drums will be transported for recycling of the cables.</t>
  </si>
  <si>
    <t>Load, Haul, Dump Soil / Growth Media around Site (small fleet)</t>
  </si>
  <si>
    <t xml:space="preserve">Select the one-way distance from which growth media will be sourced. </t>
  </si>
  <si>
    <t>Load, Haul, Dump Bitumen / Concrete / Stabilised Materials around Site (small fleet)</t>
  </si>
  <si>
    <t xml:space="preserve">Select the one-way distance from to which solid materials growth media will be transported for burial on site. </t>
  </si>
  <si>
    <t>Load, Long Haul, Dump Growth Media/Ameliorants</t>
  </si>
  <si>
    <t>Select the one-way distance from where ameliorants will be sourced.</t>
  </si>
  <si>
    <t>Load, Long Haul, Dump Concrete Rubble</t>
  </si>
  <si>
    <t>Select the one-way distance to where concrete rubble will be disposed off-site.</t>
  </si>
  <si>
    <t>Load, Long Haul, Dump Scrap Steel</t>
  </si>
  <si>
    <t>Select the one-way distance to where steel will be transported for recycling off-site.</t>
  </si>
  <si>
    <t>Load, Long Haul, Dump Oil</t>
  </si>
  <si>
    <t>Oil</t>
  </si>
  <si>
    <t>Select the one-way distance to where oil will be transported for disposal or recycling off-site.</t>
  </si>
  <si>
    <t>Load, Long Haul, Dump Modules</t>
  </si>
  <si>
    <t>Select the one-way distance to where modules (e.g. BESS) will be transported for disposal or recycling off-site.</t>
  </si>
  <si>
    <t>Meteorological Masts and Communications Towers</t>
  </si>
  <si>
    <t>Enter the number of communications towers to be demolished.</t>
  </si>
  <si>
    <t>Enter the number of met towers to be demolished.</t>
  </si>
  <si>
    <t>Enter the number of shown fleet type and size required to be mobilised for demolition / rehabilitation from the shown one-way distance.</t>
  </si>
  <si>
    <t>Enter the length of powerlines to be demolished and the materials removed off-site. Enter zero if the powerlines will remain.</t>
  </si>
  <si>
    <t>Reporting and Documentation</t>
  </si>
  <si>
    <t>Enter the number of wind turbines requiring a permit for demolition.</t>
  </si>
  <si>
    <t>Enter the number of permits required to decommission a solar plant.</t>
  </si>
  <si>
    <t>Enter the number of wind farms requiring a decommissioning plan.</t>
  </si>
  <si>
    <t>Enter the number of solar farms requiring a decommissioning plan.</t>
  </si>
  <si>
    <t>Enter the number of wind turbine collapse plans required if using the collapse method.</t>
  </si>
  <si>
    <t>Re-vegetation</t>
  </si>
  <si>
    <t>Enter the area of land to be rehabilitated to pasture using a dozer to apply the seed.</t>
  </si>
  <si>
    <t>Enter the area of land to be rehabilitated to pasture where seed will be handcast (typically smaller sites).</t>
  </si>
  <si>
    <t>Enter the area of land to be rehabilitated to native using a dozer to apply the seed.</t>
  </si>
  <si>
    <t>Enter the area of land to be rehabilitated to native where seed will be handcast (typically smaller sites).</t>
  </si>
  <si>
    <t>Enter the area of land to be rehabilitated using tube stock.</t>
  </si>
  <si>
    <t>Enter the area of land to be rehabilitated using mature trees.</t>
  </si>
  <si>
    <t>Roads, Tracks</t>
  </si>
  <si>
    <t>Solar Panels</t>
  </si>
  <si>
    <t>Enter the number of solar panels to be removed.</t>
  </si>
  <si>
    <t>Enter the number of power conditioners to be removed.</t>
  </si>
  <si>
    <t>Enter the number of inverters to be removed.</t>
  </si>
  <si>
    <t>Enter the number of substations of approximate shown footprint to be demolished. The user should use their judgement in selection the appropriate size.</t>
  </si>
  <si>
    <t>Wind Turbines</t>
  </si>
  <si>
    <t>Enter the number of converters to be decommissioned.</t>
  </si>
  <si>
    <t>Enter the number of power conditions to be decommissioned.</t>
  </si>
  <si>
    <t>Used in the calculation of cost to remove gearbox oil from wind turbines using the parameters for the specific turbine shown in the Turbines tab.</t>
  </si>
  <si>
    <t>Used in the calculation of cost to remove and transport the rotors from wind turbines. The quantity used is the number of wind turbines entered by the user at the top of the Wind sheet. Small is defined as turbines less than or equal to 3MW.</t>
  </si>
  <si>
    <t>Used in the calculation of cost to remove and transport the rotors from wind turbines. The quantity used is the number of wind turbines entered by the user at the top of the Wind sheet. Large is defined as turbines greater than 3MW.</t>
  </si>
  <si>
    <t>Used in the calculation of cost to remove and transport the blades from wind turbines. The quantity used is the number of wind turbines entered by the user at the top of the Wind sheet. Small is defined as turbines less than or equal to 3MW.</t>
  </si>
  <si>
    <t>Used in the calculation of cost to remove and transport the blades from wind turbines. The quantity used is the number of wind turbines entered by the user at the top of the Wind sheet. Large is defined as turbines greater than 3MW.</t>
  </si>
  <si>
    <t>Used in the calculation of cost to remove and transport the nacelle from wind turbines. The quantity used is the number of wind turbines entered by the user at the top of the Wind sheet. Small is defined as turbines less than or equal to 3MW.</t>
  </si>
  <si>
    <t>Used in the calculation of cost to remove and transport the nacelle from wind turbines. The quantity used is the number of wind turbines entered by the user at the top of the Wind sheet. Large is defined as turbines greater than 3MW.</t>
  </si>
  <si>
    <t>Used in the calculation of cost to demolish the wind turbine towers and transport the materials. The quantity used is the number of wind turbines entered by the user at the top of the Wind sheet. Small is defined as turbines less than or equal to 3MW.</t>
  </si>
  <si>
    <t>Used in the calculation of cost to demolish the wind turbine towers and transport the materials. The quantity used is the number of wind turbines entered by the user at the top of the Wind sheet. Large is defined as turbines greater than 3MW.</t>
  </si>
  <si>
    <t>Used in the calculation of cost to demolish the wind turbine foundations and transport the materials. The quantity used is the number of wind turbines entered by the user at the top of the Wind sheet and the volume of concrete for the specific turbine shown in the Turbines tab. Small is defined as turbines less than or equal to 3MW.</t>
  </si>
  <si>
    <t>Used in the calculation of cost to demolish the wind turbine towers and transport the materials. The quantity used is the number of wind turbines entered by the user at the top of the Wind sheet and the volume of concrete for the specific turbine shown in the Turbines tab. Large is defined as turbines greater than 3MW.</t>
  </si>
  <si>
    <t>Inflation -yrs escalate</t>
  </si>
  <si>
    <t>Inflation - rate</t>
  </si>
  <si>
    <t>Inflation - multiplier</t>
  </si>
  <si>
    <t>User Rate (DEM Only)</t>
  </si>
  <si>
    <t>Rate Used</t>
  </si>
  <si>
    <t>Sources / Notes</t>
  </si>
  <si>
    <t>User Sources / Notes</t>
  </si>
  <si>
    <t>Hide&gt;</t>
  </si>
  <si>
    <t>Range</t>
  </si>
  <si>
    <t>Range % Max on Min</t>
  </si>
  <si>
    <t>Minimum</t>
  </si>
  <si>
    <t>Average</t>
  </si>
  <si>
    <t>Maximum</t>
  </si>
  <si>
    <t>Value Selected</t>
  </si>
  <si>
    <t>Date of Rate Selection</t>
  </si>
  <si>
    <t>Source 1</t>
  </si>
  <si>
    <t>Source 2</t>
  </si>
  <si>
    <t>Source 3</t>
  </si>
  <si>
    <t>Source 4</t>
  </si>
  <si>
    <t>Source 5</t>
  </si>
  <si>
    <t>Source 6</t>
  </si>
  <si>
    <t>Source 7</t>
  </si>
  <si>
    <t>Source 8</t>
  </si>
  <si>
    <t>Source 9</t>
  </si>
  <si>
    <t>Source 10</t>
  </si>
  <si>
    <t>Source 11</t>
  </si>
  <si>
    <t>Source 12</t>
  </si>
  <si>
    <t>Source 13</t>
  </si>
  <si>
    <t>Source 14</t>
  </si>
  <si>
    <t>Source 15</t>
  </si>
  <si>
    <t>Source 16</t>
  </si>
  <si>
    <t>Source 17</t>
  </si>
  <si>
    <t>No source / allowance</t>
  </si>
  <si>
    <t>Backhoe</t>
  </si>
  <si>
    <t>Backhoe 420F 4WD</t>
  </si>
  <si>
    <t>hour</t>
  </si>
  <si>
    <t>includes fuel and operator</t>
  </si>
  <si>
    <t>Backhoe attachments</t>
  </si>
  <si>
    <t>Compactors</t>
  </si>
  <si>
    <t xml:space="preserve">Compactor CP633E Sheepsfoot           </t>
  </si>
  <si>
    <t>Concrete crushing plant</t>
  </si>
  <si>
    <t xml:space="preserve">Consultant Labour </t>
  </si>
  <si>
    <t>Junior Engineer/Geologist/Scientist</t>
  </si>
  <si>
    <t>EHS Support indicative rate for projects of this nature</t>
  </si>
  <si>
    <t>Associate Engineer/Geologist/Scientist</t>
  </si>
  <si>
    <t>Principal Engineer/Geologist/Scientist</t>
  </si>
  <si>
    <t>Senior Principal Engineer/Geologist/Scientist</t>
  </si>
  <si>
    <t>Project Manager</t>
  </si>
  <si>
    <t>Auditor/Director</t>
  </si>
  <si>
    <t>Draftsman/Technician</t>
  </si>
  <si>
    <t>Admin labour</t>
  </si>
  <si>
    <t>Health and Safety Lead</t>
  </si>
  <si>
    <t>Cranes and Platforms</t>
  </si>
  <si>
    <t>Crane 20t</t>
  </si>
  <si>
    <t>includes fuel, operator, excludes rigger</t>
  </si>
  <si>
    <t>Crane 50t</t>
  </si>
  <si>
    <t>Crane 120t</t>
  </si>
  <si>
    <t>Crane 500t</t>
  </si>
  <si>
    <t>Crane 1000t</t>
  </si>
  <si>
    <t>Elevated Work Platform 40m</t>
  </si>
  <si>
    <t>Dozers</t>
  </si>
  <si>
    <t>Dozer D8R</t>
  </si>
  <si>
    <t>Excavators</t>
  </si>
  <si>
    <t>Excavator 20t</t>
  </si>
  <si>
    <t>Excavator 40t</t>
  </si>
  <si>
    <t>Excavator 74t</t>
  </si>
  <si>
    <t>Excavator PC 1900</t>
  </si>
  <si>
    <t>Excavator Attachments</t>
  </si>
  <si>
    <t>Excavator 20t hammer</t>
  </si>
  <si>
    <t>Excavator 40t hammer</t>
  </si>
  <si>
    <t>Excavator 74t hammer</t>
  </si>
  <si>
    <t>Excavator 20t shears</t>
  </si>
  <si>
    <t>Excavator 40t shears</t>
  </si>
  <si>
    <t>Excavator 74t shears</t>
  </si>
  <si>
    <t>Excavator 20t grapple</t>
  </si>
  <si>
    <t>Excavator 40t grapple</t>
  </si>
  <si>
    <t>Excavator 74t grapple</t>
  </si>
  <si>
    <t>Explosives</t>
  </si>
  <si>
    <t>Explosives for wind turbine collapse</t>
  </si>
  <si>
    <t>Graders</t>
  </si>
  <si>
    <t>Grader 12M</t>
  </si>
  <si>
    <t>with fuel and operator</t>
  </si>
  <si>
    <t>Grader 14M</t>
  </si>
  <si>
    <t>Land Rehabilitation - Fertiliser</t>
  </si>
  <si>
    <t>Fertiliser - pasture</t>
  </si>
  <si>
    <t>Excludes delivery. Used in build-up of rates in Cost Schedule.</t>
  </si>
  <si>
    <t>Fertiliser - native</t>
  </si>
  <si>
    <t>Land Rehabilitation - Growth Media</t>
  </si>
  <si>
    <t>Top soil</t>
  </si>
  <si>
    <t>Excludes delivery. Transport costs are added separately in Input sheets.</t>
  </si>
  <si>
    <t>Land Rehabilitation - Plants and Seed</t>
  </si>
  <si>
    <t>Native seed</t>
  </si>
  <si>
    <t>kilogram</t>
  </si>
  <si>
    <t>Pasture seed</t>
  </si>
  <si>
    <t>Tube stock</t>
  </si>
  <si>
    <t>Trees - mature</t>
  </si>
  <si>
    <t>Land Rehabilitation - Soil Ameliorants</t>
  </si>
  <si>
    <t>Land Rehabilitation - Water</t>
  </si>
  <si>
    <t>Water</t>
  </si>
  <si>
    <t>kilolitre</t>
  </si>
  <si>
    <t>Allowance. Used in build-up of rates in Cost Schedule.</t>
  </si>
  <si>
    <t>Loaders</t>
  </si>
  <si>
    <t>Panhandler</t>
  </si>
  <si>
    <t>w/fuel and operator</t>
  </si>
  <si>
    <t>Loader 980M</t>
  </si>
  <si>
    <t>Scrap aluminium and alloy</t>
  </si>
  <si>
    <t>https://premier-metals.com.au/copper-scrap-prices/</t>
  </si>
  <si>
    <t>Scrap copper and alloy</t>
  </si>
  <si>
    <t>Scrap glass</t>
  </si>
  <si>
    <t>Scrap silver</t>
  </si>
  <si>
    <t xml:space="preserve">Scrap stainless steel </t>
  </si>
  <si>
    <t>https://premier-metals.com.au/how-much-scrap-metal-prices-australia/</t>
  </si>
  <si>
    <t>Scrap steel</t>
  </si>
  <si>
    <t>Oil recycle</t>
  </si>
  <si>
    <t xml:space="preserve">https://www.dcceew.gov.au/environment/protection/used-oil-recycling/product-stewardship-oil-program </t>
  </si>
  <si>
    <t>Small Equipment</t>
  </si>
  <si>
    <t>Gas Axe</t>
  </si>
  <si>
    <t>day</t>
  </si>
  <si>
    <t>Wind turbine tools</t>
  </si>
  <si>
    <t>Trade Labour</t>
  </si>
  <si>
    <t>Rigger</t>
  </si>
  <si>
    <t>Electrician</t>
  </si>
  <si>
    <t>Foreperson</t>
  </si>
  <si>
    <t>Labour (General)</t>
  </si>
  <si>
    <t>Mechanical Fitter</t>
  </si>
  <si>
    <t>HDPE Welder</t>
  </si>
  <si>
    <t>Demolition crew</t>
  </si>
  <si>
    <t>Construction labour</t>
  </si>
  <si>
    <t>Trucks</t>
  </si>
  <si>
    <t>Truck Flatbed</t>
  </si>
  <si>
    <t>includes fuel and operator. Light rigid/site truck (4.5m tray)</t>
  </si>
  <si>
    <t>Truck Semi-tipper</t>
  </si>
  <si>
    <t>Truck with crane</t>
  </si>
  <si>
    <t>includes fuel and operator, 4 tonne rigid crane truck</t>
  </si>
  <si>
    <t>Truck 740C</t>
  </si>
  <si>
    <t>Truck Vacuum Tanker</t>
  </si>
  <si>
    <t>Truck Water Tanker 19kL</t>
  </si>
  <si>
    <t>Pump Truck/Tanker</t>
  </si>
  <si>
    <t>Pump 4 inch dewater with hoses</t>
  </si>
  <si>
    <t>Fuel tanker</t>
  </si>
  <si>
    <t>Truck module transport</t>
  </si>
  <si>
    <t>includes fuel and operator, semi-tray top</t>
  </si>
  <si>
    <t>Wind turbine blade transport truck</t>
  </si>
  <si>
    <t>Hydro-rig</t>
  </si>
  <si>
    <t>Vehicles and Equipment</t>
  </si>
  <si>
    <t>Vehicle Hire</t>
  </si>
  <si>
    <t>Mine spec vehicle (dual cab with tray). Base rate &lt;200km/day</t>
  </si>
  <si>
    <t>Winch for cables</t>
  </si>
  <si>
    <t>Waste Disposal Gate Fees and Levies - items by mass</t>
  </si>
  <si>
    <t>Disposal (gate fee) construction debris</t>
  </si>
  <si>
    <r>
      <rPr>
        <sz val="10"/>
        <rFont val="Poppins regular"/>
      </rPr>
      <t xml:space="preserve">Southern Recycling Centre: </t>
    </r>
    <r>
      <rPr>
        <u/>
        <sz val="10"/>
        <color theme="10"/>
        <rFont val="Poppins regular"/>
      </rPr>
      <t>Gate Fees 2025 - 2026.pdf</t>
    </r>
  </si>
  <si>
    <t>Scrap metal accepted for free</t>
  </si>
  <si>
    <t>Disposal (gate fee) asbestos in soil</t>
  </si>
  <si>
    <t>Cleanaway SA</t>
  </si>
  <si>
    <t>Disposal (gate fee) waste fill</t>
  </si>
  <si>
    <t>Disposal (gate fee) intermediate waste</t>
  </si>
  <si>
    <t>Disposal (gate fee) low level solid waste</t>
  </si>
  <si>
    <t>Disposal (gate fee) high level solid waste</t>
  </si>
  <si>
    <t>Waste levy (metropolitan solid waste)</t>
  </si>
  <si>
    <r>
      <rPr>
        <sz val="10"/>
        <rFont val="Poppins regular"/>
      </rPr>
      <t xml:space="preserve">EPA South Australia FY2026-27: </t>
    </r>
    <r>
      <rPr>
        <u/>
        <sz val="10"/>
        <color theme="10"/>
        <rFont val="Poppins regular"/>
      </rPr>
      <t>https://www.epa.sa.gov.au/business_and_industry/waste-levy</t>
    </r>
  </si>
  <si>
    <t>Recycling (gate fee) - wind turbine blade</t>
  </si>
  <si>
    <t>Waste Disposal Gate Fees and Levies - items by volume</t>
  </si>
  <si>
    <t>Disposal (gate fee) oily water</t>
  </si>
  <si>
    <t>Cleanaway SA, Waste Disposal J120, Oil/Water Mix &gt; 10 to &lt; 25% Solids</t>
  </si>
  <si>
    <t>Waste levy (liquid waste)</t>
  </si>
  <si>
    <r>
      <rPr>
        <sz val="10"/>
        <rFont val="Poppins regular"/>
      </rPr>
      <t xml:space="preserve">EPA South Australia FY2025-26: </t>
    </r>
    <r>
      <rPr>
        <u/>
        <sz val="10"/>
        <color theme="10"/>
        <rFont val="Poppins regular"/>
      </rPr>
      <t>https://www.epa.sa.gov.au/business_and_industry/waste-levy</t>
    </r>
  </si>
  <si>
    <t>Concrete crushing rate to 75 mm</t>
  </si>
  <si>
    <t>t/h</t>
  </si>
  <si>
    <t>Concrete crushing rate to 50 mm</t>
  </si>
  <si>
    <t>Concrete crushing rate to 30 mm</t>
  </si>
  <si>
    <t>Dozer Grade (LCM/h) vs. Grading Distance</t>
  </si>
  <si>
    <t>Number of dozers</t>
  </si>
  <si>
    <t>Dozing distance (m)</t>
  </si>
  <si>
    <t>Dozer D6R</t>
  </si>
  <si>
    <t>Too small</t>
  </si>
  <si>
    <t>Dozer D7R</t>
  </si>
  <si>
    <t>Dozer D9R</t>
  </si>
  <si>
    <t>Dozer D10T</t>
  </si>
  <si>
    <t>Dozer D11T</t>
  </si>
  <si>
    <t>Dozer Type</t>
  </si>
  <si>
    <t>Dozer Rip Productivity</t>
  </si>
  <si>
    <t>Speed</t>
  </si>
  <si>
    <t>km/h</t>
  </si>
  <si>
    <t>Run width</t>
  </si>
  <si>
    <t>Run Length</t>
  </si>
  <si>
    <t>Run area</t>
  </si>
  <si>
    <t>Rip depth (multi shank)</t>
  </si>
  <si>
    <t>Rip volume</t>
  </si>
  <si>
    <t xml:space="preserve">Number of runs required </t>
  </si>
  <si>
    <t>#/ha</t>
  </si>
  <si>
    <t>Time</t>
  </si>
  <si>
    <t>h/ha</t>
  </si>
  <si>
    <t>Electrical Cable</t>
  </si>
  <si>
    <t>Solar farm DC stringer cable</t>
  </si>
  <si>
    <t xml:space="preserve">person crew at </t>
  </si>
  <si>
    <t>m/h each. All above ground</t>
  </si>
  <si>
    <t>Solar farm DC feeder cable - above ground</t>
  </si>
  <si>
    <t>1 crew</t>
  </si>
  <si>
    <t>Solar farm DC feeder cable - below ground</t>
  </si>
  <si>
    <t>Solar farm AC cable - above ground</t>
  </si>
  <si>
    <t>Solar farm AC cable - below ground</t>
  </si>
  <si>
    <t>Wind farm fibre/control cable</t>
  </si>
  <si>
    <t>Wind farm MV AC collection system</t>
  </si>
  <si>
    <t>Wind farm LV cable</t>
  </si>
  <si>
    <t xml:space="preserve">Excavator Cut Pipe </t>
  </si>
  <si>
    <t>m/h</t>
  </si>
  <si>
    <t>Excavator Cut Cladding</t>
  </si>
  <si>
    <t>m2/h</t>
  </si>
  <si>
    <t xml:space="preserve">Excavator Cut Steel Plate </t>
  </si>
  <si>
    <t xml:space="preserve">Excavator Cut Aluminium Plate </t>
  </si>
  <si>
    <t>Excavator strip Insulation</t>
  </si>
  <si>
    <t>Steel reinforcing cut rate excavator</t>
  </si>
  <si>
    <t>Steel cable cut rate excavator</t>
  </si>
  <si>
    <t>Excavator concrete break and remove</t>
  </si>
  <si>
    <t>m3/h</t>
  </si>
  <si>
    <t>Cat page 8-12, H160 reinforced concrete 229 to 650 m3 per 8 hour shift</t>
  </si>
  <si>
    <t>Grader Trim Productivity</t>
  </si>
  <si>
    <t>Speed (2nd Gear)</t>
  </si>
  <si>
    <t>Effective blade width (30 degrees)</t>
  </si>
  <si>
    <t>Overlap width</t>
  </si>
  <si>
    <t>Efficiency</t>
  </si>
  <si>
    <t>%</t>
  </si>
  <si>
    <t>Production</t>
  </si>
  <si>
    <t>ha/h</t>
  </si>
  <si>
    <t>Grader Rip Productivity</t>
  </si>
  <si>
    <t>Speed (1st Gear)</t>
  </si>
  <si>
    <t>Blade width</t>
  </si>
  <si>
    <t>Run width (in hectare)</t>
  </si>
  <si>
    <t>Number of runs required</t>
  </si>
  <si>
    <t>Hydroseeding/Mulching</t>
  </si>
  <si>
    <t>Hydroseeding</t>
  </si>
  <si>
    <t>ha/day</t>
  </si>
  <si>
    <t>ha/hour</t>
  </si>
  <si>
    <t>Hydromulching BFM</t>
  </si>
  <si>
    <t>Hydromulching FRM</t>
  </si>
  <si>
    <t>Hydromulching BGM</t>
  </si>
  <si>
    <t>Truck haul speed loaded</t>
  </si>
  <si>
    <t>Truck haul speed unloaded</t>
  </si>
  <si>
    <t>Truck travel speed on-site - loaded</t>
  </si>
  <si>
    <t>Truck travel speed on-site - unloaded</t>
  </si>
  <si>
    <t>Semi-tipper maximum volume</t>
  </si>
  <si>
    <t>https://www.freighter.com.au/trailers/lusty-ems-chassis-tipper/</t>
  </si>
  <si>
    <t>Semi-tipper maximum mass</t>
  </si>
  <si>
    <t>Semi-tipper maximum volume - concrete</t>
  </si>
  <si>
    <t>Mass is limiting factor for concrete</t>
  </si>
  <si>
    <t>Solar panels per truck</t>
  </si>
  <si>
    <t>Blades/hubs per truck</t>
  </si>
  <si>
    <t>Nacelles per truck</t>
  </si>
  <si>
    <t>Towers per truck</t>
  </si>
  <si>
    <t>Drums per truck</t>
  </si>
  <si>
    <t>drum</t>
  </si>
  <si>
    <t>Estimate assuming drum diameter 1m, width 0.7m, max weight 350kg (350kg x 7 = max load of truck flatbed 2.4t)</t>
  </si>
  <si>
    <t>Description</t>
  </si>
  <si>
    <t>User DEM Only</t>
  </si>
  <si>
    <t>Used</t>
  </si>
  <si>
    <t>Earthern airstrip cover thickness</t>
  </si>
  <si>
    <t>Gravel / rock airstrip cover thickness</t>
  </si>
  <si>
    <t>Bitumen airstrip cover thickness</t>
  </si>
  <si>
    <t>Conversion</t>
  </si>
  <si>
    <t>Minutes in hour</t>
  </si>
  <si>
    <t>min/h</t>
  </si>
  <si>
    <t>Kilograms in tonnes</t>
  </si>
  <si>
    <t>kg/t</t>
  </si>
  <si>
    <t>Metres in kilometres</t>
  </si>
  <si>
    <t>m/km</t>
  </si>
  <si>
    <t>Square metres in hectare</t>
  </si>
  <si>
    <t>sq.m/ha</t>
  </si>
  <si>
    <t>Litres in kilolitres</t>
  </si>
  <si>
    <t>L/kL</t>
  </si>
  <si>
    <t>Kilolitres in megalitres</t>
  </si>
  <si>
    <t>kL/ML</t>
  </si>
  <si>
    <t>Millimetres in metres</t>
  </si>
  <si>
    <t>mm/m</t>
  </si>
  <si>
    <t>Metres per min in kilometres per hour</t>
  </si>
  <si>
    <t>m/min</t>
  </si>
  <si>
    <t>Electrical Cable - specific lengths</t>
  </si>
  <si>
    <t>DC Cables - string - length</t>
  </si>
  <si>
    <t>km/MW</t>
  </si>
  <si>
    <t>Reference value only, user enters actual length or uses this value for default calculation</t>
  </si>
  <si>
    <t>DC Cables - feeder - length</t>
  </si>
  <si>
    <t>AC Cables - length</t>
  </si>
  <si>
    <t>Fibre/Control Cable - length</t>
  </si>
  <si>
    <t>MV AC Cables - length</t>
  </si>
  <si>
    <t>LV Cables - length</t>
  </si>
  <si>
    <t>Electrical Cable - specific mass</t>
  </si>
  <si>
    <t>t/km</t>
  </si>
  <si>
    <t>Assumes all copper</t>
  </si>
  <si>
    <t>km/drum</t>
  </si>
  <si>
    <t>Assumes all copper (est. km/drum values for drum diameter 1m, width 0.7m, max 350kg)</t>
  </si>
  <si>
    <t>Assumes copper conductors with polymer insulation</t>
  </si>
  <si>
    <t>Fibre/Control Cable - 2.5mm2</t>
  </si>
  <si>
    <t>Fibre/Control Cable - 4mm2</t>
  </si>
  <si>
    <t>Fibre/Control Cable - 6mm2</t>
  </si>
  <si>
    <t>MV AC Cables - 3 core 95mm2</t>
  </si>
  <si>
    <t>Assumes all aluminium</t>
  </si>
  <si>
    <t>LV Cables - single core 16mm2</t>
  </si>
  <si>
    <t>LV Cables - 3 core 120mm2</t>
  </si>
  <si>
    <t>LV Cables - 3 core 185mm2</t>
  </si>
  <si>
    <t>LV Cables - 3 core 240mm2</t>
  </si>
  <si>
    <t>L/kgH2</t>
  </si>
  <si>
    <t>Land Rehabilitation - thicknesses and application rates</t>
  </si>
  <si>
    <t>kg/ha</t>
  </si>
  <si>
    <t>plants/ha</t>
  </si>
  <si>
    <t>trees/ha</t>
  </si>
  <si>
    <t>Earthern laydown cover thickness</t>
  </si>
  <si>
    <t>Gravel / rock laydown cover thickness</t>
  </si>
  <si>
    <t>Bitumen laydown cover thickness</t>
  </si>
  <si>
    <t>Liquid Treatment and Pumping</t>
  </si>
  <si>
    <t>Tanker capacity</t>
  </si>
  <si>
    <t>Truck capacity (water load)</t>
  </si>
  <si>
    <t>Tanker liquids pump flowrate - oil</t>
  </si>
  <si>
    <t>Tanker liquids pump flowrate - water</t>
  </si>
  <si>
    <t>kL/h</t>
  </si>
  <si>
    <t>Material Properties</t>
  </si>
  <si>
    <t>Concrete density</t>
  </si>
  <si>
    <r>
      <t>t/m</t>
    </r>
    <r>
      <rPr>
        <vertAlign val="superscript"/>
        <sz val="10"/>
        <color theme="1"/>
        <rFont val="Poppins regular"/>
      </rPr>
      <t>3</t>
    </r>
  </si>
  <si>
    <t>Concrete default thickness</t>
  </si>
  <si>
    <t>Concrete truck packing factor</t>
  </si>
  <si>
    <t>Steel density</t>
  </si>
  <si>
    <t>t/m3</t>
  </si>
  <si>
    <t>https://www.engineeringtoolbox.com/metal-alloys-densities-d_50.html  (20 to 30% swell)</t>
  </si>
  <si>
    <t>Steel roof specific mass</t>
  </si>
  <si>
    <t>kg/m2</t>
  </si>
  <si>
    <t>Specific mass of structural steel - columns</t>
  </si>
  <si>
    <t>kg/m</t>
  </si>
  <si>
    <t>Specific mass of structural steel - cross beams</t>
  </si>
  <si>
    <t>Specific mass of 50 mm steel pipe</t>
  </si>
  <si>
    <t>Project Costs</t>
  </si>
  <si>
    <t>Soil and Solids Properties</t>
  </si>
  <si>
    <t>Sludge density</t>
  </si>
  <si>
    <t>Soil density</t>
  </si>
  <si>
    <t>Solar Plants</t>
  </si>
  <si>
    <t>Mass of frame</t>
  </si>
  <si>
    <t>t/panel</t>
  </si>
  <si>
    <t>Storage - One-way Travel Distances (assumptions for default rates)</t>
  </si>
  <si>
    <t>Storage - general</t>
  </si>
  <si>
    <t>50 to 60 km</t>
  </si>
  <si>
    <t>Surface</t>
  </si>
  <si>
    <t>Concrete surface cover - Building</t>
  </si>
  <si>
    <t>Concrete surface cover - Parking</t>
  </si>
  <si>
    <t>Concrete footing - Module</t>
  </si>
  <si>
    <t>Concrete slab thickness - Transformer</t>
  </si>
  <si>
    <t>Asphalt surface cover</t>
  </si>
  <si>
    <t>Gravel surface cover</t>
  </si>
  <si>
    <t>Tracks and Roads</t>
  </si>
  <si>
    <t>Earthern track / road cover thickness</t>
  </si>
  <si>
    <t>Gravel / rock track / road cover thickness</t>
  </si>
  <si>
    <t>Bitumen track / road cover thickness</t>
  </si>
  <si>
    <t>Waste - One-way Travel Distances (assumptions for default rates)</t>
  </si>
  <si>
    <t>Concrete disposal</t>
  </si>
  <si>
    <t>30 to 35 km</t>
  </si>
  <si>
    <t>Includes concrete, rubble, liners. Used in the calculation of default rates for building slabs etc.</t>
  </si>
  <si>
    <t>Liquid waste disposal</t>
  </si>
  <si>
    <t>Scrapyard</t>
  </si>
  <si>
    <t>Steel and electrical disposal</t>
  </si>
  <si>
    <t>General assumption</t>
  </si>
  <si>
    <t>Working day</t>
  </si>
  <si>
    <t>Average working day</t>
  </si>
  <si>
    <t>h</t>
  </si>
  <si>
    <t>Glass</t>
  </si>
  <si>
    <t>Silver</t>
  </si>
  <si>
    <t>Other (non-recylable)</t>
  </si>
  <si>
    <t>Panel technology</t>
  </si>
  <si>
    <t>Length</t>
  </si>
  <si>
    <t>Width</t>
  </si>
  <si>
    <t>Area</t>
  </si>
  <si>
    <t>% mass</t>
  </si>
  <si>
    <t>sq.m</t>
  </si>
  <si>
    <t>Panel example 1</t>
  </si>
  <si>
    <t>Panel example 2</t>
  </si>
  <si>
    <t>User Entered 1</t>
  </si>
  <si>
    <t>User Entered 2</t>
  </si>
  <si>
    <t>User Entered 3</t>
  </si>
  <si>
    <t>Basore, Paul, “Solar Photovoltaics Supply Chain in the United States”, at PV Cell Tech conference Oct. 2023</t>
  </si>
  <si>
    <t>Indicates value is not confirmed. User entered values must have all entries.</t>
  </si>
  <si>
    <t>Windy Hill, Atheron 8MW</t>
  </si>
  <si>
    <t>User Entered 4</t>
  </si>
  <si>
    <t>User Entered 5</t>
  </si>
  <si>
    <t>User Entered 6</t>
  </si>
  <si>
    <t>User Entered 7</t>
  </si>
  <si>
    <t>User Entered 8</t>
  </si>
  <si>
    <t>Mass - total</t>
  </si>
  <si>
    <t>Recyclable Components</t>
  </si>
  <si>
    <t>Non-recyclable Components</t>
  </si>
  <si>
    <t>Rotor</t>
  </si>
  <si>
    <t>Diameter</t>
  </si>
  <si>
    <t>Length (blades)</t>
  </si>
  <si>
    <t>Mass of all blades</t>
  </si>
  <si>
    <t>Tower</t>
  </si>
  <si>
    <t>Height (i.e., hub heights)</t>
  </si>
  <si>
    <t>Nacelle</t>
  </si>
  <si>
    <t xml:space="preserve">  </t>
  </si>
  <si>
    <t>Gearbox</t>
  </si>
  <si>
    <t>Oil volume</t>
  </si>
  <si>
    <t>Foundation</t>
  </si>
  <si>
    <t>Thickness</t>
  </si>
  <si>
    <t>Bolts</t>
  </si>
  <si>
    <t>https://www.vestas.com/content/dam/vestas-com/global/en/sustainability/environment/2023_04_Material-Use-Brochure_Vestas.pdf.coredownload.inline.pdf</t>
  </si>
  <si>
    <t>Enercon E44/600 - Manufacturers and turbines - Online access - The Wind Power</t>
  </si>
  <si>
    <t>4.5 MW</t>
  </si>
  <si>
    <t>N163/5.X - Nordex SE</t>
  </si>
  <si>
    <t>CDR-PDF-000038-Brochures-Vestas-V112.pdf</t>
  </si>
  <si>
    <t>(different capacity so specs may differ)</t>
  </si>
  <si>
    <t>https://www.vestas.com/content/dam/vestas-com/global/en/brochures/onshore/4MW_Platform_Brochure.pdf.coredownload.inline.pdf</t>
  </si>
  <si>
    <t>V162-6.2 MW™</t>
  </si>
  <si>
    <t>Technical Documentation Wind Turbine Generator Systems 3.6-137 - 50/60 Hz - DocsLib</t>
  </si>
  <si>
    <t>GE Vernova GE 3.8-130 - 3,80 MW - Wind turbine</t>
  </si>
  <si>
    <t>Vestas_V47.pdf</t>
  </si>
  <si>
    <t>Number of steel bolts per m2 (foundation) - coefficient 1</t>
  </si>
  <si>
    <t>Number of steel bolts per m2 (foundation) - coefficient 2</t>
  </si>
  <si>
    <t>Tesla Megapack 2</t>
  </si>
  <si>
    <t>Tesla Megapack 2XL</t>
  </si>
  <si>
    <t>Components</t>
  </si>
  <si>
    <t>Steel (carbon/stainless)</t>
  </si>
  <si>
    <t>Lithium-iron-phosphate cells</t>
  </si>
  <si>
    <t>Electronics</t>
  </si>
  <si>
    <t>Plastics/polymers</t>
  </si>
  <si>
    <t>Cooling fluids/misc. liquids</t>
  </si>
  <si>
    <t>Glass/ceramics/insulation</t>
  </si>
  <si>
    <t>Other (paint, gaskets, fasteners)</t>
  </si>
  <si>
    <t>Dimensions</t>
  </si>
  <si>
    <t>Depth</t>
  </si>
  <si>
    <t>Height</t>
  </si>
  <si>
    <t>Footprint for slab</t>
  </si>
  <si>
    <t>Liquids</t>
  </si>
  <si>
    <t>Cooling</t>
  </si>
  <si>
    <t>L</t>
  </si>
  <si>
    <t>Megapack 2 Datasheet</t>
  </si>
  <si>
    <t>Megapack 2 XL Datasheet</t>
  </si>
  <si>
    <t>Electrolysers</t>
  </si>
  <si>
    <t>Make</t>
  </si>
  <si>
    <t>Thyssenkrupp nucera</t>
  </si>
  <si>
    <t>FEST Group</t>
  </si>
  <si>
    <t>Nel Hydrogen</t>
  </si>
  <si>
    <t>Siemens</t>
  </si>
  <si>
    <t>Scalum</t>
  </si>
  <si>
    <t>gEL400</t>
  </si>
  <si>
    <t>gEL500</t>
  </si>
  <si>
    <t>gEL600</t>
  </si>
  <si>
    <t>gEL1000 / 1000R</t>
  </si>
  <si>
    <t>PSM Series</t>
  </si>
  <si>
    <t>Elyzer® P-300</t>
  </si>
  <si>
    <t>Type</t>
  </si>
  <si>
    <t>Alkaline</t>
  </si>
  <si>
    <t>PEM</t>
  </si>
  <si>
    <t>t/day</t>
  </si>
  <si>
    <t>Containers</t>
  </si>
  <si>
    <t>20ft</t>
  </si>
  <si>
    <t>40ft</t>
  </si>
  <si>
    <t>Water Supply</t>
  </si>
  <si>
    <t>Water consumption</t>
  </si>
  <si>
    <t>Electrolyte volume</t>
  </si>
  <si>
    <t>PEM electrolyzer (2-50 MW): modular and scalable</t>
  </si>
  <si>
    <t>PEM Electrolyser - PSM Series | Nel Hydrogen</t>
  </si>
  <si>
    <t>This sheet is a functional sheet only, Users do not need to use it.</t>
  </si>
  <si>
    <t>Lists</t>
  </si>
  <si>
    <t>Yes</t>
  </si>
  <si>
    <t>No</t>
  </si>
  <si>
    <t>N/A</t>
  </si>
  <si>
    <t>Dozer Push Length</t>
  </si>
  <si>
    <t>Load and Haul</t>
  </si>
  <si>
    <t>≤ 200 m</t>
  </si>
  <si>
    <t>&gt;200 m to ≤500 m</t>
  </si>
  <si>
    <t>&gt;500 m to ≤1000 m</t>
  </si>
  <si>
    <t>&gt;1000 m to ≤1500 m</t>
  </si>
  <si>
    <t>&gt;1500 m to ≤2000 m</t>
  </si>
  <si>
    <t>&gt;2000 m to ≤2500 m</t>
  </si>
  <si>
    <t>&gt;2500 m to ≤3000 m</t>
  </si>
  <si>
    <t>&gt;3000 m to ≤4000 m</t>
  </si>
  <si>
    <t>&gt;4000 m to ≤5000 m</t>
  </si>
  <si>
    <t>&gt;5000 m to ≤6000 m</t>
  </si>
  <si>
    <t>&gt; 6000 m</t>
  </si>
  <si>
    <t>Long Haul Distance Ranges</t>
  </si>
  <si>
    <t>&lt; 5 km</t>
  </si>
  <si>
    <t>5 to 10 km</t>
  </si>
  <si>
    <t>10 to 15 km</t>
  </si>
  <si>
    <t>15 to 20 km</t>
  </si>
  <si>
    <t>20 to 25 km</t>
  </si>
  <si>
    <t>25 to 30 km</t>
  </si>
  <si>
    <t>35 to 40 km</t>
  </si>
  <si>
    <t>40 to 45 km</t>
  </si>
  <si>
    <t>45 to 50 km</t>
  </si>
  <si>
    <t>60 to 70 km</t>
  </si>
  <si>
    <t>70 to 80 km</t>
  </si>
  <si>
    <t>80 to 90 km</t>
  </si>
  <si>
    <t>90 to 100 km</t>
  </si>
  <si>
    <t>100 to 150 km</t>
  </si>
  <si>
    <t>150 to 200 km</t>
  </si>
  <si>
    <t>200 to 250 km</t>
  </si>
  <si>
    <t>&gt; 250 km</t>
  </si>
  <si>
    <t>Materials</t>
  </si>
  <si>
    <t>None</t>
  </si>
  <si>
    <t>Brick</t>
  </si>
  <si>
    <t>Steel</t>
  </si>
  <si>
    <t>Concrete</t>
  </si>
  <si>
    <t>SA Government</t>
  </si>
  <si>
    <t>Seed / Plant Method</t>
  </si>
  <si>
    <t>Handcast</t>
  </si>
  <si>
    <t>Dozer applied</t>
  </si>
  <si>
    <t>Plant</t>
  </si>
  <si>
    <t>Spray</t>
  </si>
  <si>
    <t>Short Distances</t>
  </si>
  <si>
    <t>≤1km</t>
  </si>
  <si>
    <t>&gt;1km ≤2km</t>
  </si>
  <si>
    <t>&gt;2km ≤5km</t>
  </si>
  <si>
    <t>&gt;5km</t>
  </si>
  <si>
    <t xml:space="preserve">Surface Cover </t>
  </si>
  <si>
    <t>Earthen</t>
  </si>
  <si>
    <t>Gravel / rock</t>
  </si>
  <si>
    <t>Bitumen</t>
  </si>
  <si>
    <t>Tank Base</t>
  </si>
  <si>
    <t>Earth base</t>
  </si>
  <si>
    <t>Skid base</t>
  </si>
  <si>
    <t>Steel floor</t>
  </si>
  <si>
    <t>Concrete base</t>
  </si>
  <si>
    <t>Plastic base</t>
  </si>
  <si>
    <t>Buried</t>
  </si>
  <si>
    <t>Tank Cladding</t>
  </si>
  <si>
    <t>No cladding</t>
  </si>
  <si>
    <t>Aluminium cladding</t>
  </si>
  <si>
    <t>Tank Containment</t>
  </si>
  <si>
    <t>Single skin</t>
  </si>
  <si>
    <t>Double skin</t>
  </si>
  <si>
    <t>Tank Liner</t>
  </si>
  <si>
    <t>Lined</t>
  </si>
  <si>
    <t>Not lined</t>
  </si>
  <si>
    <t>Tank Type</t>
  </si>
  <si>
    <t>Vertical</t>
  </si>
  <si>
    <t>Horizontal</t>
  </si>
  <si>
    <t>Hor frac</t>
  </si>
  <si>
    <t>Concrete ring</t>
  </si>
  <si>
    <t>Panel</t>
  </si>
  <si>
    <t>Hopper</t>
  </si>
  <si>
    <t>Rainwater</t>
  </si>
  <si>
    <t>Silo</t>
  </si>
  <si>
    <t>Rail loading bin</t>
  </si>
  <si>
    <t>Thickening</t>
  </si>
  <si>
    <t>Galvanised - small</t>
  </si>
  <si>
    <t>Tank Wall</t>
  </si>
  <si>
    <t>Steel wall</t>
  </si>
  <si>
    <t>Concrete wall</t>
  </si>
  <si>
    <t>Plastic wall</t>
  </si>
  <si>
    <t>Tank Top/Roof</t>
  </si>
  <si>
    <t>Open top</t>
  </si>
  <si>
    <t>Closed top</t>
  </si>
  <si>
    <t>Steel roof</t>
  </si>
  <si>
    <t>Concrete roof</t>
  </si>
  <si>
    <t>Vegetation</t>
  </si>
  <si>
    <t>No vegetation</t>
  </si>
  <si>
    <t>Earth compacted</t>
  </si>
  <si>
    <t>Grass</t>
  </si>
  <si>
    <t>Trees</t>
  </si>
  <si>
    <t>Waste Disposal</t>
  </si>
  <si>
    <t>Qty name</t>
  </si>
  <si>
    <t>Concrete rubble debris disposal</t>
  </si>
  <si>
    <t>Steel disposal</t>
  </si>
  <si>
    <t>Hazardous waste</t>
  </si>
  <si>
    <t>Restricted solid waste</t>
  </si>
  <si>
    <t>Low level solid waste</t>
  </si>
  <si>
    <t>Waste Levy</t>
  </si>
  <si>
    <t>Standard levy - metropolitan</t>
  </si>
  <si>
    <t>Standard levy - regional</t>
  </si>
  <si>
    <t>No levy (outside zones)</t>
  </si>
  <si>
    <t>Small turbine</t>
  </si>
  <si>
    <t>Isolate and electrically and mechanically disconnect panel from rack</t>
  </si>
  <si>
    <t xml:space="preserve">Cut-up and load racking </t>
  </si>
  <si>
    <t>Pull out and load piles</t>
  </si>
  <si>
    <t>Load concrete footings</t>
  </si>
  <si>
    <t>Remove oil from gearbox</t>
  </si>
  <si>
    <t xml:space="preserve">kL </t>
  </si>
  <si>
    <t>$/kL</t>
  </si>
  <si>
    <t>$/rotor</t>
  </si>
  <si>
    <t>$/nacelle</t>
  </si>
  <si>
    <t>$/tower</t>
  </si>
  <si>
    <t>$/m3</t>
  </si>
  <si>
    <t>$/bolt</t>
  </si>
  <si>
    <t>$/turbine</t>
  </si>
  <si>
    <t>$/module</t>
  </si>
  <si>
    <t>$/m2</t>
  </si>
  <si>
    <t>Remove and dispose of liquids</t>
  </si>
  <si>
    <t>Break up slab and footings</t>
  </si>
  <si>
    <t>$/t-km</t>
  </si>
  <si>
    <t>Fibre / Control Cable</t>
  </si>
  <si>
    <t>MV AC Collection System</t>
  </si>
  <si>
    <t>LV Cable</t>
  </si>
  <si>
    <t>DC Cables - string - 10mm2</t>
  </si>
  <si>
    <t>$ / km</t>
  </si>
  <si>
    <t>lump</t>
  </si>
  <si>
    <t>Communications Tower</t>
  </si>
  <si>
    <t>Meteorological Mast</t>
  </si>
  <si>
    <t>Remove and dispose liquids</t>
  </si>
  <si>
    <t>Diesel generators</t>
  </si>
  <si>
    <t>$/structure</t>
  </si>
  <si>
    <t>$/panel-km</t>
  </si>
  <si>
    <t>$/rotor-km</t>
  </si>
  <si>
    <t>$/nacelle-km</t>
  </si>
  <si>
    <t>$/m3-km</t>
  </si>
  <si>
    <t>$/kL-km</t>
  </si>
  <si>
    <t>$/module-km</t>
  </si>
  <si>
    <t>$/drum-km</t>
  </si>
  <si>
    <t>Handcast Pasture seed</t>
  </si>
  <si>
    <t>Handcast Native seed</t>
  </si>
  <si>
    <t>Plant Tube stock</t>
  </si>
  <si>
    <t>Plant Trees - mature</t>
  </si>
  <si>
    <t>$/ha</t>
  </si>
  <si>
    <t xml:space="preserve">Disconnect and remove modules  / skids / containers unit rates </t>
  </si>
  <si>
    <t>GreenH2 small (&lt;=50MW)</t>
  </si>
  <si>
    <t>GreenH2 medium (50 to 500MW)</t>
  </si>
  <si>
    <t>GreenH2 large (&gt; 500MW)</t>
  </si>
  <si>
    <t>building</t>
  </si>
  <si>
    <t>m2-floor</t>
  </si>
  <si>
    <t>Disconnect electrically and mechanically, load and transport to off-site storage / reuse using Crane truck.</t>
  </si>
  <si>
    <t>Disconnect grid</t>
  </si>
  <si>
    <t>Wind turbine cable disconnect</t>
  </si>
  <si>
    <t>GreenH2 disconnect from power supply</t>
  </si>
  <si>
    <t>Site</t>
  </si>
  <si>
    <t>Medium substation of footprint 2500m2</t>
  </si>
  <si>
    <t>Large substation of footprint 5000m2</t>
  </si>
  <si>
    <t>$/substation</t>
  </si>
  <si>
    <t>Airstrip with bitumen cover</t>
  </si>
  <si>
    <t>Inverters</t>
  </si>
  <si>
    <t>Power Conditioners</t>
  </si>
  <si>
    <t>Converters</t>
  </si>
  <si>
    <t>Transformers</t>
  </si>
  <si>
    <t xml:space="preserve">Concrete crush to 30mm </t>
  </si>
  <si>
    <t>Wind Farm Permitting</t>
  </si>
  <si>
    <t>Solar Farm Permitting</t>
  </si>
  <si>
    <t>Wind Farm Decommissioning Plan</t>
  </si>
  <si>
    <t>Solar Farm Decommissioning Plan</t>
  </si>
  <si>
    <t>Wind Farm Collapse Plan</t>
  </si>
  <si>
    <t>per turbine</t>
  </si>
  <si>
    <t>Corrected several unit rates (Rates sheet) and rolled-up transport rates and removed double-up of rigger.</t>
  </si>
  <si>
    <t>1. The rehabilitation liability estimate calculator (the calculator) may only be used subject to, and for the purposes described in, these terms and conditions of use. In using the calculator, the licensee agrees to be bound by these terms and conditions of use.
2. The calculator is a general tool provided by the Department for Energy and Mining (the department) to assist licensees in estimating rehabilitation liabilities associated with the decommissioning and rehabilitation of hydrogen and renewable energy projects.
3. Rehabilitation liability estimates are used in the determination of financial security required pursuant to the Hydrogen and Renewable Energy Act 2023.
4. The calculator is indicative only and does not constitute a final or binding determination by the department.
5. Licensees must ensure they use the most up to date version of the calculator by checking the departmental website. The department may revise the rates and/or formulae used in the calculator at any time without notice but is not under any obligation to do so.
6. The licensee should rely on their own independent investigations, assessments, review and analysis in using the calculator.
7. The output of the calculator will depend upon the accuracy of the information entered by the user concerning the relevant approved license and current and future conditions.</t>
  </si>
  <si>
    <t>Quantities are never expected to be entered twice. Where there are more than one table for an activity, for example buildings by area and buildings by number, the User enters quantities for a specific building to one table only. The intent of the two tables is to provide flexibility. For example if a User</t>
  </si>
  <si>
    <t>Hyperlink</t>
  </si>
  <si>
    <t>Disposal gate fee / recycling</t>
  </si>
  <si>
    <t>tonne-km</t>
  </si>
  <si>
    <t>Remove / dismantle</t>
  </si>
  <si>
    <t>bolt</t>
  </si>
  <si>
    <t>Load, Haul, Dump Scrap Steel from off-site &gt; 60 to &lt;= 70 km</t>
  </si>
  <si>
    <t>Load, Haul, Dump Modules from off-site &lt;=5 km</t>
  </si>
  <si>
    <t>Load, Haul, Dump Modules from off-site &gt; 250 km</t>
  </si>
  <si>
    <t>Storage of modules</t>
  </si>
  <si>
    <t>Enter nunber of modules if a storage fee will be incurred.</t>
  </si>
  <si>
    <t>Electrical fleet &gt;1000 km</t>
  </si>
  <si>
    <t>Land fleet &gt;500 &lt;= 1000 km</t>
  </si>
  <si>
    <t>Load, Haul, Dump Modules from off-site &gt; 35 to &lt;= 40 km</t>
  </si>
  <si>
    <t>Load, Haul, Dump Modules from off-site &gt; 60 to &lt;= 70 km</t>
  </si>
  <si>
    <t>Enter area of airstrip and surrounds (in Arid area) to be rehabilitated.</t>
  </si>
  <si>
    <t>Earthen surface, rip / decompress, trim, no growth media, ameliorants or revegatation. Fleet: Grader 12M, Dozer D8R.</t>
  </si>
  <si>
    <t>Enter area of airstrip and surrounds (in Pasture area) to be rehabilitated.</t>
  </si>
  <si>
    <t>Remove Gravel / rock surface of thickness 0.3m rip / decompress, trim, local growth media, no ameliorants, revegetate with pasture seed. Fleet: Grader 12M, Dozer D8R.</t>
  </si>
  <si>
    <t>Enter area of airstrip and surrounds (in Native area) to be rehabilitated.</t>
  </si>
  <si>
    <t>Remove Bitumen surface of thickness 0.5m rip / decompress, trim, local growth media, no ameliorants, revegetate with native seed. Fleet: Grader 12M, Dozer D8R.</t>
  </si>
  <si>
    <t>Enter area of land to which Gypsum ameliorant must be applied.</t>
  </si>
  <si>
    <t>Time to spread over area: 2h/ha. Fleet: Loader 980M, Backhoe 420F 4WD, Grader 14M.</t>
  </si>
  <si>
    <t>Enter area of land to which Lime ameliorant must be applied.</t>
  </si>
  <si>
    <t>Load to Truck Vacuum Tanker and transport for disposal, gate fee included. Loading time 0.1h, roundtrip trip of 2h.</t>
  </si>
  <si>
    <t>Load to Truck Flatbed, and transport to storage, no gate fee. Total load and travel time 4h .</t>
  </si>
  <si>
    <t>Break up slab and footings using Excavator 40t with hammer. Concrete slab thickness of 250mm, 8 Concrete footings. Total concrete volume 27m3. Disposal site one way distance 32.5km. No gate or levy fee included.</t>
  </si>
  <si>
    <t>Cut-up, remove, load and transport steel and electrical using Excavator 40t with shears. Assumed mass 48t. Disposal site one way distance 55km. No gate or levy fee.</t>
  </si>
  <si>
    <t>Remove, load and transport incidental waste using Excavator 40t with grapple. Assumed mass 11t. Disposal site one way distance 32.5km. No gate or levy fee.</t>
  </si>
  <si>
    <t>Remove and dispose liquids, disconnect electrically and mechanically, load and transport, break concrete and remove concrete foundation and footings. Fleet: Pump Truck/Tanker, Crane 20t, Electrician, Mechanical Fitter, Rigger.</t>
  </si>
  <si>
    <t>Based on footprint 50m2, wall height 2.8m, disconnect electrically and mechanically, remove steel roof and structural steel, demolish brick / concrete walls, cut-up / crush and load demolished materials, break and load concrete pad of thickness 150mm, remove incidental waste. Fleet includes Excavator 40t with hammer, shears, and grapple, and labour.</t>
  </si>
  <si>
    <t>Based on footprint 2000m2, wall height 2.8m, disconnect electrically and mechanically, remove steel roof and structural steel, demolish brick / concrete walls, cut-up / crush and load demolished materials, break and load concrete pad of thickness 150mm, remove incidental waste. Fleet includes Excavator 40t with hammer, shears, and grapple, and labour.</t>
  </si>
  <si>
    <t>Based on footprint 50m2, wall height 2.8m, disconnect electrically and mechanically, remove steel roof, walls and structural steel, break and load concrete pad of thickness 150mm, remove incidental waste. Fleet includes Excavator 40t with hammer, shears, and grapple, and labour.</t>
  </si>
  <si>
    <t>Based on footprint 900m2, wall height 4m, disconnect electrically and mechanically, remove steel roof, walls and structural steel, break and load concrete pad of thickness 150mm, remove incidental waste. Fleet includes Excavator 40t with hammer, shears, and grapple, and labour.</t>
  </si>
  <si>
    <t>Based on footprint 2000m2, wall height 5.6m, disconnect electrically and mechanically, remove steel roof and structural steel, demolish brick / concrete walls, cut-up / crush and load demolished materials, break and load concrete pad of thickness 150mm, remove incidental waste. Fleet includes Excavator 40t with hammer, shears, and grapple, and labour.</t>
  </si>
  <si>
    <t>Based on footprint 15m2, disconnect electrically and mechanically, demolish roof and walls, break and load concrete pad of thickness 150mm, remove incidental waste. Fleet includes Excavator 40t with hammer, shears, and grapple, and labour.</t>
  </si>
  <si>
    <t>Based on footprint 0m2, disconnect electrically and mechanically, demolish roof and walls, break and load concrete pad of thickness 150mm, remove incidental waste. Fleet includes Excavator 40t with hammer, shears, and grapple, and labour.</t>
  </si>
  <si>
    <t>Crush concrete at productivity rate of 100t/h using Concrete crushing plant supported by Excavator 20t with hammer and Truck Water Tanker 19kL to control dust.</t>
  </si>
  <si>
    <t>Crush concrete at productivity rate of 67t/h using Concrete crushing plant supported by Excavator 20t with hammer and Truck Water Tanker 19kL to control dust.</t>
  </si>
  <si>
    <t>Crush concrete at productivity rate of 50t/h using Concrete crushing plant supported by Excavator 20t with hammer and Truck Water Tanker 19kL to control dust.</t>
  </si>
  <si>
    <t>Remove and load cables to Truck Flatbed supported by Panhandler and labour. Productivity of 0.2km/h.</t>
  </si>
  <si>
    <t>DC Cables - feeder - single core 16mm2 above ground</t>
  </si>
  <si>
    <t>Remove and load cables to Truck Flatbed supported by Panhandler, winch and labour. Productivity of 0.45km/h.</t>
  </si>
  <si>
    <t>DC Cables - feeder - single core 25mm2 above ground</t>
  </si>
  <si>
    <t>DC Cables - feeder - single core 50mm2 above ground</t>
  </si>
  <si>
    <t>DC Cables - feeder - single core 70mm2 above ground</t>
  </si>
  <si>
    <t>DC Cables - feeder - single core 95mm2 above ground</t>
  </si>
  <si>
    <t>DC Cables - feeder - single core 120mm2 above ground</t>
  </si>
  <si>
    <t>DC Cables - feeder - single core 150mm2 above ground</t>
  </si>
  <si>
    <t>DC Cables - feeder - single core 240mm2 above ground</t>
  </si>
  <si>
    <t>DC Cables - feeder - single core 300mm2 above ground</t>
  </si>
  <si>
    <t>DC Cables - feeder - single core 400mm2 above ground</t>
  </si>
  <si>
    <t>DC Cables - feeder - single core 500mm2 above ground</t>
  </si>
  <si>
    <t>DC Cables - feeder - 4 core 16mm2 above ground</t>
  </si>
  <si>
    <t>DC Cables - feeder - 4 core 25mm2 above ground</t>
  </si>
  <si>
    <t>DC Cables - feeder - 4 core 35mm2 above ground</t>
  </si>
  <si>
    <t>DC Cables - feeder - single core 16mm2 below ground</t>
  </si>
  <si>
    <t>Remove and load cables to Truck Flatbed supported by Panhandler, winch, and labour. Excavator 20t to reach cable. Productivity of 0.1km/h.</t>
  </si>
  <si>
    <t>DC Cables - feeder - single core 25mm2 below ground</t>
  </si>
  <si>
    <t>DC Cables - feeder - single core 35mm2 below ground</t>
  </si>
  <si>
    <t>DC Cables - feeder - single core 50mm2 below ground</t>
  </si>
  <si>
    <t>DC Cables - feeder - single core 70mm2 below ground</t>
  </si>
  <si>
    <t>DC Cables - feeder - single core 95mm2 below ground</t>
  </si>
  <si>
    <t>DC Cables - feeder - single core 120mm2 below ground</t>
  </si>
  <si>
    <t>DC Cables - feeder - single core 150mm2 below ground</t>
  </si>
  <si>
    <t>DC Cables - feeder - single core 185mm2 below ground</t>
  </si>
  <si>
    <t>DC Cables - feeder - single core 240mm2 below ground</t>
  </si>
  <si>
    <t>DC Cables - feeder - single core 300mm2 below ground</t>
  </si>
  <si>
    <t>DC Cables - feeder - single core 400mm2 below ground</t>
  </si>
  <si>
    <t>DC Cables - feeder - single core 500mm2 below ground</t>
  </si>
  <si>
    <t>DC Cables - feeder - single core 630mm3 below ground</t>
  </si>
  <si>
    <t>DC Cables - feeder - 4 core 16mm2 below ground</t>
  </si>
  <si>
    <t>DC Cables - feeder - 4 core 25mm2 below ground</t>
  </si>
  <si>
    <t>DC Cables - feeder - 4 core 35mm2 below ground</t>
  </si>
  <si>
    <t>Remove and load cables to Truck Flatbed supported by Panhandler, winch and labour. Excavator 20t to reach cable. Productivity of 0.45km/h.</t>
  </si>
  <si>
    <t>Remove and load cables to Truck Flatbed supported by Panhandler, winch and labour. Excavator 20t to reach cable. Productivity of 0.1km/h.</t>
  </si>
  <si>
    <t>Remove and load cables to Truck Flatbed supported by Panhandler and labour. Productivity of 2km/h.</t>
  </si>
  <si>
    <t>Remove and load cables to Truck Flatbed supported by Panhandler, winch and labour. Excavator 20t to reach cable. Productivity of 0.2km/h.</t>
  </si>
  <si>
    <t>Remove and dispose liquids with Truck Vacuum Tanker. Liquid waste volume 18kL .</t>
  </si>
  <si>
    <t>Disconnect and remove module / skid / containers. Fleet includes Electrician, Mechanical Fitter, Rigger, Elevated Work Platform 40m, Crane 20t.</t>
  </si>
  <si>
    <t>Disconnect and remove module / skid / containers. Fleet includes Electrician, Mechanical Fitter, Rigger, Elevated Work Platform 40m, Crane 50t.</t>
  </si>
  <si>
    <t>Horizontal, Steel wall, Skid base, Single skin, 0.1t</t>
  </si>
  <si>
    <t>Disconnect electrically and mechanically, cut up steel plate, demolish concrete foundation, no land rehabilitation. Fleet includes: Excavator 40t with shears, grapple, and hammer.</t>
  </si>
  <si>
    <t>Horizontal, Steel wall, Skid base, Single skin, 0.5t</t>
  </si>
  <si>
    <t>Horizontal, Steel wall, Skid base, Double skin, 1t</t>
  </si>
  <si>
    <t>Horizontal, Steel wall, Skid base, Double skin, 2t</t>
  </si>
  <si>
    <t>Horizontal, Steel wall, Skid base, Double skin, 5t</t>
  </si>
  <si>
    <t>Horizontal, Steel wall, Skid base, Double skin, 10t</t>
  </si>
  <si>
    <t>Disconnect electrically and mechanically, cut up steel plate, demolish concrete foundation, no land rehabilitation. Fleet includes: Excavator 40t and Excavator 74t with shears, grapple, and hammer.</t>
  </si>
  <si>
    <t>Horizontal, Steel wall, Skid base, Double skin, 20t</t>
  </si>
  <si>
    <t>Haul and unload solar panels &lt;=5 km</t>
  </si>
  <si>
    <t>Load panels with Panhandler onto Truck Semi-tipper with labour support. Truck loaded speed of 80km/h, truck unloaded speed of 90km/h.</t>
  </si>
  <si>
    <t>Haul and unload solar panels &gt; 5 to &lt;= 10 km</t>
  </si>
  <si>
    <t>Haul and unload solar panels &gt; 10 to &lt;= 15 km</t>
  </si>
  <si>
    <t>Haul and unload solar panels &gt; 15 to &lt;= 20 km</t>
  </si>
  <si>
    <t>Haul and unload solar panels &gt; 20 to &lt;= 25 km</t>
  </si>
  <si>
    <t>Haul and unload solar panels &gt; 25 to &lt;= 30 km</t>
  </si>
  <si>
    <t>Haul and unload solar panels &gt; 30 to &lt;= 35 km</t>
  </si>
  <si>
    <t>Haul and unload solar panels &gt; 40 to &lt;= 45 km</t>
  </si>
  <si>
    <t>Haul and unload solar panels &gt; 45 to &lt;= 50 km</t>
  </si>
  <si>
    <t>Haul and unload solar panels &gt; 50 to &lt;= 60 km</t>
  </si>
  <si>
    <t>Haul and unload solar panels &gt; 70 to &lt;= 80 km</t>
  </si>
  <si>
    <t>Haul and unload solar panels &gt; 80 to &lt;= 90 km</t>
  </si>
  <si>
    <t>Haul and unload solar panels &gt; 90 to &lt;= 100 km</t>
  </si>
  <si>
    <t>Haul and unload solar panels &gt; 100 to &lt;= 150 km</t>
  </si>
  <si>
    <t>Haul and unload solar panels &gt; 150 to &lt;= 200 km</t>
  </si>
  <si>
    <t>Haul and unload solar panels &gt; 200 to &lt;= 250 km</t>
  </si>
  <si>
    <t>Haul and unload blades and hub &lt;=5 km</t>
  </si>
  <si>
    <t>Transport rotor on Wind turbine blade transport truck with labour support. Truck loaded speed of 80km/h, truck unloaded speed of 90km/h.</t>
  </si>
  <si>
    <t>Haul and unload blades and hub &gt; 5 to &lt;= 10 km</t>
  </si>
  <si>
    <t>Haul and unload blades and hub &gt; 10 to &lt;= 15 km</t>
  </si>
  <si>
    <t>Haul and unload blades and hub &gt; 15 to &lt;= 20 km</t>
  </si>
  <si>
    <t>Haul and unload blades and hub &gt; 20 to &lt;= 25 km</t>
  </si>
  <si>
    <t>Haul and unload blades and hub &gt; 25 to &lt;= 30 km</t>
  </si>
  <si>
    <t>Haul and unload blades and hub &gt; 30 to &lt;= 35 km</t>
  </si>
  <si>
    <t>Haul and unload blades and hub &gt; 35 to &lt;= 40 km</t>
  </si>
  <si>
    <t>Haul and unload blades and hub &gt; 40 to &lt;= 45 km</t>
  </si>
  <si>
    <t>Haul and unload blades and hub &gt; 50 to &lt;= 60 km</t>
  </si>
  <si>
    <t>Haul and unload blades and hub &gt; 60 to &lt;= 70 km</t>
  </si>
  <si>
    <t>Haul and unload blades and hub &gt; 70 to &lt;= 80 km</t>
  </si>
  <si>
    <t>Haul and unload blades and hub &gt; 80 to &lt;= 90 km</t>
  </si>
  <si>
    <t>Haul and unload blades and hub &gt; 90 to &lt;= 100 km</t>
  </si>
  <si>
    <t>Haul and unload blades and hub &gt; 100 to &lt;= 150 km</t>
  </si>
  <si>
    <t>Haul and unload blades and hub &gt; 150 to &lt;= 200 km</t>
  </si>
  <si>
    <t>Haul and unload blades and hub &gt; 200 to &lt;= 250 km</t>
  </si>
  <si>
    <t>Haul and unload blades and hub &gt; 250 km</t>
  </si>
  <si>
    <t>Haul and unload nacelles &lt;=5 km</t>
  </si>
  <si>
    <t>Transport nacelle on Truck Semi-tipper with labour support. Truck loaded speed of 80km/h, truck unloaded speed of 90km/h.</t>
  </si>
  <si>
    <t>Haul and unload nacelles &gt; 5 to &lt;= 10 km</t>
  </si>
  <si>
    <t>Haul and unload nacelles &gt; 10 to &lt;= 15 km</t>
  </si>
  <si>
    <t>Haul and unload nacelles &gt; 15 to &lt;= 20 km</t>
  </si>
  <si>
    <t>Haul and unload nacelles &gt; 20 to &lt;= 25 km</t>
  </si>
  <si>
    <t>Haul and unload nacelles &gt; 30 to &lt;= 35 km</t>
  </si>
  <si>
    <t>Haul and unload nacelles &gt; 35 to &lt;= 40 km</t>
  </si>
  <si>
    <t>Haul and unload nacelles &gt; 40 to &lt;= 45 km</t>
  </si>
  <si>
    <t>Haul and unload nacelles &gt; 45 to &lt;= 50 km</t>
  </si>
  <si>
    <t>Haul and unload nacelles &gt; 50 to &lt;= 60 km</t>
  </si>
  <si>
    <t>Haul and unload nacelles &gt; 60 to &lt;= 70 km</t>
  </si>
  <si>
    <t>Haul and unload nacelles &gt; 70 to &lt;= 80 km</t>
  </si>
  <si>
    <t>Haul and unload nacelles &gt; 80 to &lt;= 90 km</t>
  </si>
  <si>
    <t>Haul and unload nacelles &gt; 90 to &lt;= 100 km</t>
  </si>
  <si>
    <t>Haul and unload nacelles &gt; 100 to &lt;= 150 km</t>
  </si>
  <si>
    <t>Haul and unload nacelles &gt; 150 to &lt;= 200 km</t>
  </si>
  <si>
    <t>Haul and unload nacelles &gt; 200 to &lt;= 250 km</t>
  </si>
  <si>
    <t>Haul and unload nacelles &gt; 250 km</t>
  </si>
  <si>
    <t>Haul and unload copper cables &lt;=5 km</t>
  </si>
  <si>
    <t>Transport copper cables on Truck Semi-tipper. Truck loaded speed of 80km/h, truck unloaded speed of 90km/h.</t>
  </si>
  <si>
    <t>Haul and unload copper cables &gt; 15 to &lt;= 20 km</t>
  </si>
  <si>
    <t>Haul and unload copper cables &gt; 20 to &lt;= 25 km</t>
  </si>
  <si>
    <t>Haul and unload copper cables &gt; 25 to &lt;= 30 km</t>
  </si>
  <si>
    <t>Haul and unload copper cables &gt; 30 to &lt;= 35 km</t>
  </si>
  <si>
    <t>Haul and unload copper cables &gt; 35 to &lt;= 40 km</t>
  </si>
  <si>
    <t>Haul and unload copper cables &gt; 40 to &lt;= 45 km</t>
  </si>
  <si>
    <t>Haul and unload copper cables &gt; 45 to &lt;= 50 km</t>
  </si>
  <si>
    <t>Haul and unload copper cables &gt; 50 to &lt;= 60 km</t>
  </si>
  <si>
    <t>Haul and unload copper cables &gt; 60 to &lt;= 70 km</t>
  </si>
  <si>
    <t>Haul and unload copper cables &gt; 70 to &lt;= 80 km</t>
  </si>
  <si>
    <t>Haul and unload copper cables &gt; 80 to &lt;= 90 km</t>
  </si>
  <si>
    <t>Haul and unload copper cables &gt; 90 to &lt;= 100 km</t>
  </si>
  <si>
    <t>Haul and unload copper cables &gt; 100 to &lt;= 150 km</t>
  </si>
  <si>
    <t>Haul and unload copper cables &gt; 150 to &lt;= 200 km</t>
  </si>
  <si>
    <t>Haul and unload copper cables &gt; 200 to &lt;= 250 km</t>
  </si>
  <si>
    <t>Haul and unload copper cables &gt; 250 km</t>
  </si>
  <si>
    <t>Haul and unload cable drums &lt;=5 km</t>
  </si>
  <si>
    <t>Transport cable drums on Truck Semi-tipper. Truck loaded speed of 80km/h, truck unloaded speed of 90km/h.</t>
  </si>
  <si>
    <t>Haul and unload cable drums &gt; 5 to &lt;= 10 km</t>
  </si>
  <si>
    <t>Haul and unload cable drums &gt; 15 to &lt;= 20 km</t>
  </si>
  <si>
    <t>Haul and unload cable drums &gt; 20 to &lt;= 25 km</t>
  </si>
  <si>
    <t>Haul and unload cable drums &gt; 30 to &lt;= 35 km</t>
  </si>
  <si>
    <t>Haul and unload cable drums &gt; 35 to &lt;= 40 km</t>
  </si>
  <si>
    <t>Haul and unload cable drums &gt; 40 to &lt;= 45 km</t>
  </si>
  <si>
    <t>Haul and unload cable drums &gt; 45 to &lt;= 50 km</t>
  </si>
  <si>
    <t>Haul and unload cable drums &gt; 50 to &lt;= 60 km</t>
  </si>
  <si>
    <t>Haul and unload cable drums &gt; 60 to &lt;= 70 km</t>
  </si>
  <si>
    <t>Haul and unload cable drums &gt; 70 to &lt;= 80 km</t>
  </si>
  <si>
    <t>Haul and unload cable drums &gt; 80 to &lt;= 90 km</t>
  </si>
  <si>
    <t>Haul and unload cable drums &gt; 90 to &lt;= 100 km</t>
  </si>
  <si>
    <t>Haul and unload cable drums &gt; 100 to &lt;= 150 km</t>
  </si>
  <si>
    <t>Haul and unload cable drums &gt; 150 to &lt;= 200 km</t>
  </si>
  <si>
    <t>Haul and unload cable drums &gt; 200 to &lt;= 250 km</t>
  </si>
  <si>
    <t>Haul and unload cable drums &gt; 250 km</t>
  </si>
  <si>
    <t>Enter area of laydown of shown surface (in Arid area) to be rehabilitated.</t>
  </si>
  <si>
    <t>Rip, Decompress, Trim, apply local growth media. Fleet includes Grader 12M and Dozer D8R.</t>
  </si>
  <si>
    <t>Enter area of laydown of shown surface (in Pasture area) to be rehabilitated.</t>
  </si>
  <si>
    <t>Enter area of laydown of shown surface (in Native area) to be rehabilitated.</t>
  </si>
  <si>
    <t>Load, Haul, Dump Soil / Growth Media around Site (small fleet) ≤ 200 m</t>
  </si>
  <si>
    <t>Load soil using Loader 980M onto Truck 740C and level with Grader 14M supported by Truck Water Tanker 19kLkm/h. Truck loaded speed 40km/h, truck unloaded speed 50km/h.</t>
  </si>
  <si>
    <t>Load, Haul, Dump Soil / Growth Media around Site (small fleet) &gt;200 m to ≤500 m</t>
  </si>
  <si>
    <t>Load, Haul, Dump Soil / Growth Media around Site (small fleet) &gt;1500 m to ≤2000 m</t>
  </si>
  <si>
    <t>Load, Haul, Dump Soil / Growth Media around Site (small fleet) &gt;2000 m to ≤2500 m</t>
  </si>
  <si>
    <t>Load, Haul, Dump Soil / Growth Media around Site (small fleet) &gt;2500 m to ≤3000 m</t>
  </si>
  <si>
    <t>Load, Haul, Dump Soil / Growth Media around Site (small fleet) &gt;3000 m to ≤4000 m</t>
  </si>
  <si>
    <t>Load, Haul, Dump Soil / Growth Media around Site (small fleet) &gt;4000 m to ≤5000 m</t>
  </si>
  <si>
    <t>Load, Haul, Dump Soil / Growth Media around Site (small fleet) &gt;5000 m to ≤6000 m</t>
  </si>
  <si>
    <t>Load rubble using Loader 980M and transport using Truck 740C supported by Grader 14M and Truck Water Tanker 19kL.</t>
  </si>
  <si>
    <t>Load, Haul, Dump Bitumen / Concrete / Stabilised Materials around Site (small fleet) &gt;1000 m to ≤1500 m</t>
  </si>
  <si>
    <t>Load, Haul, Dump Bitumen / Concrete / Stabilised Materials around Site (small fleet) &gt;2000 m to ≤2500 m</t>
  </si>
  <si>
    <t>Load, Haul, Dump Bitumen / Concrete / Stabilised Materials around Site (small fleet) &gt;2500 m to ≤3000 m</t>
  </si>
  <si>
    <t>Load, Haul, Dump Bitumen / Concrete / Stabilised Materials around Site (small fleet) &gt;3000 m to ≤4000 m</t>
  </si>
  <si>
    <t>Load, Haul, Dump Bitumen / Concrete / Stabilised Materials around Site (small fleet) &gt;4000 m to ≤5000 m</t>
  </si>
  <si>
    <t>Load, Haul, Dump Bitumen / Concrete / Stabilised Materials around Site (small fleet) &gt;5000 m to ≤6000 m</t>
  </si>
  <si>
    <t>Load, Haul, Dump Bitumen / Concrete / Stabilised Materials around Site (small fleet) &gt; 6000 m</t>
  </si>
  <si>
    <t>Load, Haul, Dump soil / ameliorants from off-site &lt;=5 km</t>
  </si>
  <si>
    <t>Load and haul ameliorants using Loader 980M onto a Truck Semi-tipper. Truck loaded speed of 80km/h, truck unloaded speed of 90km/h.</t>
  </si>
  <si>
    <t>Load, Haul, Dump soil / ameliorants from off-site &gt; 5 to &lt;= 10 km</t>
  </si>
  <si>
    <t>Load, Haul, Dump soil / ameliorants from off-site &gt; 15 to &lt;= 20 km</t>
  </si>
  <si>
    <t>Load, Haul, Dump soil / ameliorants from off-site &gt; 25 to &lt;= 30 km</t>
  </si>
  <si>
    <t>Load, Haul, Dump soil / ameliorants from off-site &gt; 30 to &lt;= 35 km</t>
  </si>
  <si>
    <t>Load, Haul, Dump soil / ameliorants from off-site &gt; 35 to &lt;= 40 km</t>
  </si>
  <si>
    <t>Load, Haul, Dump soil / ameliorants from off-site &gt; 40 to &lt;= 45 km</t>
  </si>
  <si>
    <t>Load, Haul, Dump soil / ameliorants from off-site &gt; 45 to &lt;= 50 km</t>
  </si>
  <si>
    <t>Load, Haul, Dump soil / ameliorants from off-site &gt; 50 to &lt;= 60 km</t>
  </si>
  <si>
    <t>Load, Haul, Dump soil / ameliorants from off-site &gt; 60 to &lt;= 70 km</t>
  </si>
  <si>
    <t>Load, Haul, Dump soil / ameliorants from off-site &gt; 70 to &lt;= 80 km</t>
  </si>
  <si>
    <t>Load, Haul, Dump soil / ameliorants from off-site &gt; 80 to &lt;= 90 km</t>
  </si>
  <si>
    <t>Load, Haul, Dump soil / ameliorants from off-site &gt; 90 to &lt;= 100 km</t>
  </si>
  <si>
    <t>Load, Haul, Dump soil / ameliorants from off-site &gt; 100 to &lt;= 150 km</t>
  </si>
  <si>
    <t>Load, Haul, Dump soil / ameliorants from off-site &gt; 150 to &lt;= 200 km</t>
  </si>
  <si>
    <t>Load, Haul, Dump soil / ameliorants from off-site &gt; 200 to &lt;= 250 km</t>
  </si>
  <si>
    <t>Load, Haul, Dump soil / ameliorants from off-site &gt; 250 km</t>
  </si>
  <si>
    <t>Load, Haul, Dump Concrete Rubble from off-site &lt;=5 km</t>
  </si>
  <si>
    <t>Load and haul rubble using Loader 980M and Excavator 40t with hammer and grapple onto a Truck Semi-tipper. Truck loaded speed of 80km/h, truck unloaded speed of 90km/h.</t>
  </si>
  <si>
    <t>Load, Haul, Dump Concrete Rubble from off-site &gt; 5 to &lt;= 10 km</t>
  </si>
  <si>
    <t>Load, Haul, Dump Concrete Rubble from off-site &gt; 20 to &lt;= 25 km</t>
  </si>
  <si>
    <t>Load, Haul, Dump Concrete Rubble from off-site &gt; 25 to &lt;= 30 km</t>
  </si>
  <si>
    <t>Load, Haul, Dump Concrete Rubble from off-site &gt; 30 to &lt;= 35 km</t>
  </si>
  <si>
    <t>Load, Haul, Dump Concrete Rubble from off-site &gt; 35 to &lt;= 40 km</t>
  </si>
  <si>
    <t>Load, Haul, Dump Concrete Rubble from off-site &gt; 45 to &lt;= 50 km</t>
  </si>
  <si>
    <t>Load, Haul, Dump Concrete Rubble from off-site &gt; 50 to &lt;= 60 km</t>
  </si>
  <si>
    <t>Load, Haul, Dump Concrete Rubble from off-site &gt; 60 to &lt;= 70 km</t>
  </si>
  <si>
    <t>Load, Haul, Dump Concrete Rubble from off-site &gt; 70 to &lt;= 80 km</t>
  </si>
  <si>
    <t>Load, Haul, Dump Concrete Rubble from off-site &gt; 80 to &lt;= 90 km</t>
  </si>
  <si>
    <t>Load, Haul, Dump Concrete Rubble from off-site &gt; 90 to &lt;= 100 km</t>
  </si>
  <si>
    <t>Load, Haul, Dump Concrete Rubble from off-site &gt; 100 to &lt;= 150 km</t>
  </si>
  <si>
    <t>Load, Haul, Dump Concrete Rubble from off-site &gt; 150 to &lt;= 200 km</t>
  </si>
  <si>
    <t>Load, Haul, Dump Concrete Rubble from off-site &gt; 200 to &lt;= 250 km</t>
  </si>
  <si>
    <t>Load, Haul, Dump Concrete Rubble from off-site &gt; 250 km</t>
  </si>
  <si>
    <t>Load, Haul, Dump Scrap Steel from off-site &lt;=5 km</t>
  </si>
  <si>
    <t>Load and haul steel using Excavator 40t with grapple onto a Truck Semi-tipper. Truck loaded speed of 80km/h, truck unloaded speed of 90km/h.</t>
  </si>
  <si>
    <t>Load, Haul, Dump Scrap Steel from off-site &gt; 5 to &lt;= 10 km</t>
  </si>
  <si>
    <t>Load, Haul, Dump Scrap Steel from off-site &gt; 10 to &lt;= 15 km</t>
  </si>
  <si>
    <t>Load, Haul, Dump Scrap Steel from off-site &gt; 15 to &lt;= 20 km</t>
  </si>
  <si>
    <t>Load, Haul, Dump Scrap Steel from off-site &gt; 25 to &lt;= 30 km</t>
  </si>
  <si>
    <t>Load, Haul, Dump Scrap Steel from off-site &gt; 30 to &lt;= 35 km</t>
  </si>
  <si>
    <t>Load, Haul, Dump Scrap Steel from off-site &gt; 35 to &lt;= 40 km</t>
  </si>
  <si>
    <t>Load, Haul, Dump Scrap Steel from off-site &gt; 40 to &lt;= 45 km</t>
  </si>
  <si>
    <t>Load, Haul, Dump Scrap Steel from off-site &gt; 45 to &lt;= 50 km</t>
  </si>
  <si>
    <t>Load, Haul, Dump Scrap Steel from off-site &gt; 50 to &lt;= 60 km</t>
  </si>
  <si>
    <t>Load, Haul, Dump Scrap Steel from off-site &gt; 70 to &lt;= 80 km</t>
  </si>
  <si>
    <t>Load, Haul, Dump Scrap Steel from off-site &gt; 80 to &lt;= 90 km</t>
  </si>
  <si>
    <t>Load, Haul, Dump Scrap Steel from off-site &gt; 90 to &lt;= 100 km</t>
  </si>
  <si>
    <t>Load, Haul, Dump Scrap Steel from off-site &gt; 100 to &lt;= 150 km</t>
  </si>
  <si>
    <t>Load, Haul, Dump Scrap Steel from off-site &gt; 150 to &lt;= 200 km</t>
  </si>
  <si>
    <t>Load, Haul, Dump Scrap Steel from off-site &gt; 200 to &lt;= 250 km</t>
  </si>
  <si>
    <t>Load, Haul, Dump Scrap Steel from off-site &gt; 250 km</t>
  </si>
  <si>
    <t>Load, Haul, Dump Oil from off-site &lt;=5 km</t>
  </si>
  <si>
    <t>Load and transport oil using Truck Vacuum Tanker. Truck loaded speed of 80km/h, truck unloaded speed of 90km/h.</t>
  </si>
  <si>
    <t>Load, Haul, Dump Oil from off-site &gt; 5 to &lt;= 10 km</t>
  </si>
  <si>
    <t>Load, Haul, Dump Oil from off-site &gt; 15 to &lt;= 20 km</t>
  </si>
  <si>
    <t>Load, Haul, Dump Oil from off-site &gt; 20 to &lt;= 25 km</t>
  </si>
  <si>
    <t>Load, Haul, Dump Oil from off-site &gt; 25 to &lt;= 30 km</t>
  </si>
  <si>
    <t>Load, Haul, Dump Oil from off-site &gt; 30 to &lt;= 35 km</t>
  </si>
  <si>
    <t>Load, Haul, Dump Oil from off-site &gt; 35 to &lt;= 40 km</t>
  </si>
  <si>
    <t>Load, Haul, Dump Oil from off-site &gt; 40 to &lt;= 45 km</t>
  </si>
  <si>
    <t>Load, Haul, Dump Oil from off-site &gt; 45 to &lt;= 50 km</t>
  </si>
  <si>
    <t>Load, Haul, Dump Oil from off-site &gt; 50 to &lt;= 60 km</t>
  </si>
  <si>
    <t>Load, Haul, Dump Oil from off-site &gt; 60 to &lt;= 70 km</t>
  </si>
  <si>
    <t>Load, Haul, Dump Oil from off-site &gt; 70 to &lt;= 80 km</t>
  </si>
  <si>
    <t>Load, Haul, Dump Oil from off-site &gt; 80 to &lt;= 90 km</t>
  </si>
  <si>
    <t>Load, Haul, Dump Oil from off-site &gt; 90 to &lt;= 100 km</t>
  </si>
  <si>
    <t>Load, Haul, Dump Oil from off-site &gt; 100 to &lt;= 150 km</t>
  </si>
  <si>
    <t>Load, Haul, Dump Oil from off-site &gt; 150 to &lt;= 200 km</t>
  </si>
  <si>
    <t>Load, Haul, Dump Oil from off-site &gt; 200 to &lt;= 250 km</t>
  </si>
  <si>
    <t>Load, Haul, Dump Oil from off-site &gt; 250 km</t>
  </si>
  <si>
    <t>Load modules using crane onto a Truck module transport supported by a rigger. Truck loaded speed of 80km/h, truck unloaded speed of 90km/h.</t>
  </si>
  <si>
    <t>Load, Haul, Dump Modules from off-site &gt; 15 to &lt;= 20 km</t>
  </si>
  <si>
    <t>Load, Haul, Dump Modules from off-site &gt; 20 to &lt;= 25 km</t>
  </si>
  <si>
    <t>Load, Haul, Dump Modules from off-site &gt; 25 to &lt;= 30 km</t>
  </si>
  <si>
    <t>Load, Haul, Dump Modules from off-site &gt; 30 to &lt;= 35 km</t>
  </si>
  <si>
    <t>Load, Haul, Dump Modules from off-site &gt; 40 to &lt;= 45 km</t>
  </si>
  <si>
    <t>Load, Haul, Dump Modules from off-site &gt; 45 to &lt;= 50 km</t>
  </si>
  <si>
    <t>Load, Haul, Dump Modules from off-site &gt; 50 to &lt;= 60 km</t>
  </si>
  <si>
    <t>Load, Haul, Dump Modules from off-site &gt; 70 to &lt;= 80 km</t>
  </si>
  <si>
    <t>Load, Haul, Dump Modules from off-site &gt; 80 to &lt;= 90 km</t>
  </si>
  <si>
    <t>Load, Haul, Dump Modules from off-site &gt; 90 to &lt;= 100 km</t>
  </si>
  <si>
    <t>Load, Haul, Dump Modules from off-site &gt; 100 to &lt;= 150 km</t>
  </si>
  <si>
    <t>Load, Haul, Dump Modules from off-site &gt; 150 to &lt;= 200 km</t>
  </si>
  <si>
    <t>Load, Haul, Dump Modules from off-site &gt; 200 to &lt;= 250 km</t>
  </si>
  <si>
    <t>Isolate and electrically disconnect, mechanically disconnect, remove electronics, Pull Down / Dismantle, Load and transport units (e.g. electronics), Break, load, transport, dispose concrete slab and footings, Cut-up, remove, load and transport steel and electrical. Fleet includes Excavator 40t and shears, and Crane 50t.</t>
  </si>
  <si>
    <t>Isolate and electrically disconnect, mechanically disconnect, remove electronics, Pull Down / Dismantle, Load and transport units (e.g. electronics), Break, load, transport, dispose concrete slab and footings, Cut-up, remove, load and transport steel and electrical. Fleet includes Excavator 40t and shears.</t>
  </si>
  <si>
    <t>Fleet comprising Backhoe 420F 4WD, Excavator 20t, 8 X Light vehicles, Service truck, 10, Other ancillary equipment.</t>
  </si>
  <si>
    <t>Solar fleet &gt;150 &lt;= 500 km</t>
  </si>
  <si>
    <t>Solar fleet &gt;500 &lt;= 1000 km</t>
  </si>
  <si>
    <t>Solar fleet &gt;1000 km</t>
  </si>
  <si>
    <t>Fleet comprising Crane 20t, Crane 50t, Crane 120t, Crane 500t, Crane 1000t, 10 X Light vehicles, Service truck, Truck Vacuum Tanker, Truck Water Tanker 19kL, 10, Other ancillary equipment.</t>
  </si>
  <si>
    <t>Wind fleet &gt;150 &lt;= 500 km</t>
  </si>
  <si>
    <t>Wind fleet &gt;500 &lt;= 1000 km</t>
  </si>
  <si>
    <t>Wind fleet &gt;1000 km</t>
  </si>
  <si>
    <t>Fleet comprising Backhoe 420F 4WD, Crane 20t, Crane 50t, Crane 120t, Excavator 40t, 6 X Light vehicles, Service truck, Truck Vacuum Tanker, Truck Water Tanker 19kL, 10, Other ancillary equipment.</t>
  </si>
  <si>
    <t>BESS / H2 fleet &gt;150 &lt;= 500 km</t>
  </si>
  <si>
    <t>BESS / H2 fleet &gt;500 &lt;= 1000 km</t>
  </si>
  <si>
    <t>BESS / H2 fleet &gt;1000 km</t>
  </si>
  <si>
    <t>Electrical fleet &gt;500 &lt;= 1000 km</t>
  </si>
  <si>
    <t>Fleet comprising Backhoe 420F 4WD, Dozer D8R, Grader 14M, Excavator 20t, Loader 980M, 8 X Light vehicles, 2 Service truck, 10, Other ancillary equipment.</t>
  </si>
  <si>
    <t>Fleet comprising Backhoe 420F 4WD, Dozer D8R, Grader 14M, Excavator 20t, Loader 980M, 8 X Light vehicles,  Service truck, 10, Other ancillary equipment.</t>
  </si>
  <si>
    <t>Land fleet &gt;1000 km</t>
  </si>
  <si>
    <t>Fleet comprising Backhoe 420F 4WD, Dozer D8R, Grader 14M, Excavator 20t, Loader 980M, 8 X Light vehicles, 10 Service truck, 10, Other ancillary equipment.</t>
  </si>
  <si>
    <t>Remove and dispose cables, demolish towers and footings. Fleet includes Excavator 74t and Excavator 40t with shears.</t>
  </si>
  <si>
    <t>Preparation of documentation using consultants including Principal Engineer/Geologist/Scientist, Project Manager, Health and Safety Lead.</t>
  </si>
  <si>
    <t>Preparation of documentation using consultants including Associate Engineer/Geologist/Scientist, Principal Engineer/Geologist/Scientist, Project Manager, Health and Safety Lead.</t>
  </si>
  <si>
    <t>Preparation of documentation using consultants including Associate Engineer/Geologist/Scientist, Principal Engineer/Geologist/Scientist, Project Manager, Draftsman/Technician, Health and Safety Lead.</t>
  </si>
  <si>
    <t>Buy seed / plants, fertiliser, allowance for water, spread using Dozer D8R at productivity of 2.5ha/h and applicaton of 7kg per ha.</t>
  </si>
  <si>
    <t>Buy seed / plants, fertiliser, allowance for water, spread by hand at productivity of 0.6ha/h and applicaton of 7kg per ha.</t>
  </si>
  <si>
    <t>Buy seed / plants, fertiliser, allowance for water, spread using Dozer D8R at productivity of 2.5ha/h and applicaton of 150item per ha.</t>
  </si>
  <si>
    <t>Buy seed / plants, fertiliser, allowance for water, spread using Dozer D8R at productivity of 2.5ha/h and applicaton of 75item per ha.</t>
  </si>
  <si>
    <t>Enter area of track of shown surface (in Arid area) to be rehabilitated.</t>
  </si>
  <si>
    <t>Rip, Trim, apply local growth media. Fleet includes Grader 12M.</t>
  </si>
  <si>
    <t>Remove Cover, Rip, Trim, apply local growth media. Fleet includes Grader 12M.</t>
  </si>
  <si>
    <t>Enter area of track of shown surface (in Pasture area) to be rehabilitated.</t>
  </si>
  <si>
    <t>Enter area of track of shown surface (in Native area) to be rehabilitated.</t>
  </si>
  <si>
    <t>Isolate and electrically and mechanically disconnect panel from rack.</t>
  </si>
  <si>
    <t>Cut-up and load racking with fleet Excavator 20t with shears and labour support to Truck Semi-tipper.</t>
  </si>
  <si>
    <t>Pull out and load pileswith fleet Backhoe 420F 4WD with shears and labour support to Truck Semi-tipper.</t>
  </si>
  <si>
    <t>Load concrete footingswith fleet Excavator 20t with grapple.</t>
  </si>
  <si>
    <t>Isolate and electrically disconnect, mechanically disconnect, remove and dispose oils, electrically and mechanically disconnect, remove small buildings, remove gravel and use locally, remove fencing. Fleet includes electricians, mechanical and general labour, Truck Vacuum Tanker, Crane 20t, Excavator 40t with hammer, Truck Flatbed, Excavator 20t with grapple. 0 large transformers, 2 ,medium, 0 small, 2 power conditioners.</t>
  </si>
  <si>
    <t>Isolate and electrically disconnect, mechanically disconnect, remove and dispose oils, electrically and mechanically disconnect, remove small buildings, remove gravel and use locally, remove fencing. Fleet includes electricians, mechanical and general labour, Truck Vacuum Tanker, Crane 20t, Excavator 40t with hammer, Truck Flatbed, Excavator 20t with grapple. 2 large transformers, 4 ,medium, 2 small, 4 power conditioners.</t>
  </si>
  <si>
    <t>Isolate and electrically disconnect, mechanically disconnect, remove and dispose oils, electrically and mechanically disconnect, remove small buildings, remove gravel and use locally, remove fencing. Fleet includes electricians, mechanical and general labour, Truck Vacuum Tanker, Crane 20t, Excavator 40t with hammer, Truck Flatbed, Excavator 20t with grapple. 4 large transformers, 6 ,medium, 6 small, 8 power conditioners.</t>
  </si>
  <si>
    <t>Remove oil from gearbox using Truck Vacuum Tanker.</t>
  </si>
  <si>
    <t>Remove and load rotor (blades/hub) - Small turbine</t>
  </si>
  <si>
    <t>Remove and load rotor (blades/hub) using Crane 120t, Crane 20t, Rigger.</t>
  </si>
  <si>
    <t>Remove and load rotor (blades/hub) - Large turbine</t>
  </si>
  <si>
    <t>Remove and load rotor (blades/hub) using Crane 500t, Crane 20t, Rigger.</t>
  </si>
  <si>
    <t>Remove blades from hub (all three) - Small turbine</t>
  </si>
  <si>
    <t>Remove blades from hub (all three) using Crane 20t, allowance of 6 h per unit.</t>
  </si>
  <si>
    <t>Remove blades from hub (all three) - Large turbine</t>
  </si>
  <si>
    <t>Remove blades from hub (all three) using Crane 20t, allowance of 12 h per unit.</t>
  </si>
  <si>
    <t>Remove nacelle  - Small turbine</t>
  </si>
  <si>
    <t>Remove nacelle using Crane 500t, Crane 120t allowance of 4h.</t>
  </si>
  <si>
    <t>Remove nacelle  - Large turbine</t>
  </si>
  <si>
    <t>Remove nacelle using Crane 500t, Crane 120t allowance of 8h.</t>
  </si>
  <si>
    <t>Remove tower - Small turbine</t>
  </si>
  <si>
    <t>Remove towerusing Crane 500t, Crane 120t allowance of 8h.</t>
  </si>
  <si>
    <t>Remove tower - Large turbine</t>
  </si>
  <si>
    <t>Remove towerusing Crane 500t, Crane 120t allowance of 12h.</t>
  </si>
  <si>
    <t>Foundation demolition - Small turbine</t>
  </si>
  <si>
    <t>Demolish foundation using Excavator 40t with hammer and grapple, concrete volume 300m3.</t>
  </si>
  <si>
    <t>Foundation demolition - Large turbine</t>
  </si>
  <si>
    <t>Demolish foundation using Excavator 40t with hammer and grapple, concrete volume 800m3.</t>
  </si>
  <si>
    <t>Foundation demolition - Anchor bolts removal</t>
  </si>
  <si>
    <t>Remove bolts with gas axe, 0.5h per bolt.</t>
  </si>
  <si>
    <t>Collapse turbine - Small turbine</t>
  </si>
  <si>
    <t>Demolition crew and support staff and explosives. Does not include planning and engineering nor cutting up demolished components or disposal</t>
  </si>
  <si>
    <t>Collapse turbine - Large turbine</t>
  </si>
  <si>
    <t>Dismantle and cut up collapsed turbine on ground - Small turbine</t>
  </si>
  <si>
    <t>Dismantle and cut up collapsed turbine on ground using Excavator 40t with shears and grapple. Allowance of 20 h per turbine.</t>
  </si>
  <si>
    <t>Dismantle and cut up collapsed turbine on ground - Large turbine</t>
  </si>
  <si>
    <t>Dismantle and cut up collapsed turbine on ground using ea. with shears and grapple. Allowance of 50 h per turbine.</t>
  </si>
  <si>
    <t>≤ 20m push</t>
  </si>
  <si>
    <t>&gt; 20m to ≤ 50m push</t>
  </si>
  <si>
    <t>&gt; 50m to ≤ 75m push</t>
  </si>
  <si>
    <t>&gt; 75m to ≤ 100m push</t>
  </si>
  <si>
    <t>&gt; 100m to ≤ 125m push</t>
  </si>
  <si>
    <t>&gt; 125m to ≤ 150m push</t>
  </si>
  <si>
    <t>&gt; 150m to ≤ 200m push</t>
  </si>
  <si>
    <t>&gt; 200m to ≤ 250m push</t>
  </si>
  <si>
    <t>&gt; 250m to ≤ 300m push</t>
  </si>
  <si>
    <t>&gt; 300m to ≤ 350m push</t>
  </si>
  <si>
    <t>&gt; 350m to ≤ 400m push</t>
  </si>
  <si>
    <t>&gt; 400m to ≤ 450m push</t>
  </si>
  <si>
    <t>&gt; 450m to ≤ 500m push</t>
  </si>
  <si>
    <t>&gt; 500m push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</si>
</sst>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167" formatCode="_(&quot;$&quot;* #,##0.00_);_(&quot;$&quot;* \(#,##0.00\);_(&quot;$&quot;* &quot;-&quot;??_);_(@_)"/>
    <numFmt numFmtId="168" formatCode="_(* #,##0.00_);_(* \(#,##0.00\);_(* &quot;-&quot;??_);_(@_)"/>
    <numFmt numFmtId="169" formatCode="0.0%"/>
    <numFmt numFmtId="171" formatCode="_-* #,##0_-;\-* #,##0_-;_-* &quot;-&quot;??_-;_-@_-"/>
    <numFmt numFmtId="175" formatCode="0.0"/>
    <numFmt numFmtId="176" formatCode="_-&quot;$&quot;* #,##0_-;\-&quot;$&quot;* #,##0_-;_-&quot;$&quot;* &quot;-&quot;??_-;_-@_-"/>
    <numFmt numFmtId="177" formatCode="_-* #,##0.0_-;\-* #,##0.0_-;_-* &quot;-&quot;??_-;_-@_-"/>
    <numFmt numFmtId="179" formatCode="_([$$-409]* #,##0.00_);_([$$-409]* \(#,##0.00\);_([$$-409]* &quot;-&quot;??_);_(@_)"/>
    <numFmt numFmtId="180" formatCode="[$-C09]dd\-mmm\-yy;@"/>
    <numFmt numFmtId="183" formatCode="_(&quot;$&quot;* #,##0_);_(&quot;$&quot;* \(#,##0\);_(&quot;$&quot;* &quot;-&quot;??_);_(@_)"/>
    <numFmt numFmtId="188" formatCode="#,##0.0"/>
  </numFmts>
  <fonts count="38">
    <font>
      <sz val="11"/>
      <color theme="1"/>
      <name val="Calibri"/>
      <family val="2"/>
      <scheme val="minor"/>
    </font>
    <font>
      <sz val="11"/>
      <color theme="1"/>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sz val="8"/>
      <name val="Calibri"/>
      <family val="2"/>
      <scheme val="minor"/>
    </font>
    <font>
      <u/>
      <sz val="11"/>
      <color theme="10"/>
      <name val="Calibri"/>
      <family val="2"/>
      <scheme val="minor"/>
    </font>
    <font>
      <sz val="10"/>
      <color theme="1"/>
      <name val="Poppins regular"/>
    </font>
    <font>
      <b/>
      <sz val="10"/>
      <color theme="1"/>
      <name val="Poppins regular"/>
    </font>
    <font>
      <b/>
      <i/>
      <sz val="10"/>
      <color theme="1"/>
      <name val="Poppins regular"/>
    </font>
    <font>
      <b/>
      <sz val="10"/>
      <color theme="0"/>
      <name val="Poppins regular"/>
    </font>
    <font>
      <b/>
      <i/>
      <sz val="10"/>
      <name val="Poppins regular"/>
    </font>
    <font>
      <b/>
      <sz val="10"/>
      <name val="Poppins regular"/>
    </font>
    <font>
      <sz val="10"/>
      <name val="Poppins regular"/>
    </font>
    <font>
      <b/>
      <sz val="10"/>
      <color rgb="FF3F3F3F"/>
      <name val="Poppins regular"/>
    </font>
    <font>
      <i/>
      <sz val="10"/>
      <color theme="1"/>
      <name val="Poppins regular"/>
    </font>
    <font>
      <sz val="10"/>
      <color rgb="FFFA7D00"/>
      <name val="Poppins regular"/>
    </font>
    <font>
      <b/>
      <sz val="10"/>
      <color rgb="FFFA7D00"/>
      <name val="Poppins regular"/>
    </font>
    <font>
      <i/>
      <sz val="10"/>
      <name val="Poppins regular"/>
    </font>
    <font>
      <sz val="10"/>
      <color theme="3"/>
      <name val="Poppins regular"/>
    </font>
    <font>
      <sz val="10"/>
      <color rgb="FF3F3F76"/>
      <name val="Poppins regular"/>
    </font>
    <font>
      <sz val="10"/>
      <color rgb="FF3F3F3F"/>
      <name val="Poppins regular"/>
    </font>
    <font>
      <sz val="10"/>
      <color rgb="FFFF0000"/>
      <name val="Poppins regular"/>
    </font>
    <font>
      <u/>
      <sz val="10"/>
      <color theme="10"/>
      <name val="Poppins regular"/>
    </font>
    <font>
      <vertAlign val="superscript"/>
      <sz val="10"/>
      <color theme="1"/>
      <name val="Poppins regular"/>
    </font>
    <font>
      <i/>
      <sz val="10"/>
      <color rgb="FFFF0000"/>
      <name val="Poppins regular"/>
    </font>
    <font>
      <b/>
      <sz val="10"/>
      <color theme="3"/>
      <name val="Poppins regular"/>
    </font>
    <font>
      <sz val="10"/>
      <color rgb="FF9C0006"/>
      <name val="Poppins regular"/>
    </font>
    <font>
      <b/>
      <sz val="11"/>
      <color theme="3"/>
      <name val="Calibri"/>
      <family val="2"/>
      <scheme val="minor"/>
    </font>
    <font>
      <sz val="10"/>
      <name val="Arial"/>
      <family val="2"/>
    </font>
    <font>
      <sz val="11"/>
      <color rgb="FF9C0006"/>
      <name val="Calibri"/>
      <family val="2"/>
      <scheme val="minor"/>
    </font>
    <font>
      <sz val="10"/>
      <color theme="0"/>
      <name val="Poppins regular"/>
    </font>
    <font>
      <u/>
      <sz val="10"/>
      <color theme="1"/>
      <name val="Poppins regular"/>
    </font>
    <font>
      <b/>
      <i/>
      <sz val="10"/>
      <color theme="0"/>
      <name val="Poppins regular"/>
    </font>
    <font>
      <sz val="11"/>
      <color rgb="FF006100"/>
      <name val="Calibri"/>
      <family val="2"/>
      <scheme val="minor"/>
    </font>
  </fonts>
  <fills count="18">
    <fill>
      <patternFill patternType="none"/>
    </fill>
    <fill>
      <patternFill patternType="gray125"/>
    </fill>
    <fill>
      <patternFill patternType="solid">
        <fgColor rgb="FFF2F2F2"/>
      </patternFill>
    </fill>
    <fill>
      <patternFill patternType="solid">
        <fgColor rgb="FFFFFFCC"/>
      </patternFill>
    </fill>
    <fill>
      <patternFill patternType="solid">
        <fgColor theme="1"/>
        <bgColor indexed="64"/>
      </patternFill>
    </fill>
    <fill>
      <patternFill patternType="solid">
        <fgColor rgb="FFFFCC99"/>
      </patternFill>
    </fill>
    <fill>
      <patternFill patternType="solid">
        <fgColor rgb="FFA5A5A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2F2F2"/>
        <bgColor indexed="64"/>
      </patternFill>
    </fill>
    <fill>
      <patternFill patternType="solid">
        <fgColor rgb="FFFFC7CE"/>
      </patternFill>
    </fill>
    <fill>
      <patternFill patternType="solid">
        <fgColor theme="2" tint="-9.9978637043366805E-2"/>
        <bgColor indexed="64"/>
      </patternFill>
    </fill>
    <fill>
      <patternFill patternType="solid">
        <fgColor theme="2"/>
        <bgColor indexed="64"/>
      </patternFill>
    </fill>
    <fill>
      <patternFill patternType="solid">
        <fgColor rgb="FF010847"/>
        <bgColor indexed="64"/>
      </patternFill>
    </fill>
    <fill>
      <patternFill patternType="solid">
        <fgColor rgb="FF01AF81"/>
        <bgColor indexed="64"/>
      </patternFill>
    </fill>
    <fill>
      <patternFill patternType="solid">
        <fgColor rgb="FFC6EFCE"/>
      </patternFill>
    </fill>
    <fill>
      <patternFill patternType="solid">
        <fgColor theme="2" tint="-9.9948118533890809E-2"/>
        <bgColor indexed="64"/>
      </patternFill>
    </fill>
  </fills>
  <borders count="46">
    <border>
      <left/>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thin">
        <color rgb="FFB2B2B2"/>
      </left>
      <right/>
      <top style="thin">
        <color rgb="FFB2B2B2"/>
      </top>
      <bottom style="thin">
        <color rgb="FFB2B2B2"/>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rgb="FFB2B2B2"/>
      </right>
      <top style="thin">
        <color rgb="FFB2B2B2"/>
      </top>
      <bottom style="thin">
        <color rgb="FFB2B2B2"/>
      </bottom>
      <diagonal/>
    </border>
    <border>
      <left/>
      <right style="thin">
        <color theme="2" tint="-0.24994659260841701"/>
      </right>
      <top style="thin">
        <color theme="2" tint="-0.24994659260841701"/>
      </top>
      <bottom style="thin">
        <color theme="2" tint="-0.24994659260841701"/>
      </bottom>
      <diagonal/>
    </border>
    <border>
      <left style="thin">
        <color theme="2" tint="-9.9978637043366805E-2"/>
      </left>
      <right/>
      <top/>
      <bottom/>
      <diagonal/>
    </border>
    <border>
      <left style="thin">
        <color theme="4"/>
      </left>
      <right style="thin">
        <color theme="4"/>
      </right>
      <top style="thin">
        <color theme="4"/>
      </top>
      <bottom style="thin">
        <color theme="4"/>
      </bottom>
      <diagonal/>
    </border>
    <border>
      <left/>
      <right/>
      <top style="thin">
        <color theme="0" tint="-0.249977111117893"/>
      </top>
      <bottom style="thin">
        <color theme="0" tint="-0.249977111117893"/>
      </bottom>
      <diagonal/>
    </border>
    <border>
      <left style="thin">
        <color rgb="FFB2B2B2"/>
      </left>
      <right style="thin">
        <color rgb="FFB2B2B2"/>
      </right>
      <top/>
      <bottom style="thin">
        <color rgb="FFB2B2B2"/>
      </bottom>
      <diagonal/>
    </border>
    <border>
      <left/>
      <right/>
      <top/>
      <bottom style="thin">
        <color theme="0" tint="-0.249977111117893"/>
      </bottom>
      <diagonal/>
    </border>
    <border>
      <left style="thin">
        <color rgb="FFB2B2B2"/>
      </left>
      <right style="thin">
        <color theme="0" tint="-0.249977111117893"/>
      </right>
      <top/>
      <bottom style="thin">
        <color rgb="FFB2B2B2"/>
      </bottom>
      <diagonal/>
    </border>
    <border>
      <left style="thin">
        <color rgb="FFB2B2B2"/>
      </left>
      <right style="thin">
        <color theme="0" tint="-0.249977111117893"/>
      </right>
      <top style="thin">
        <color rgb="FFB2B2B2"/>
      </top>
      <bottom style="thin">
        <color theme="0" tint="-0.249977111117893"/>
      </bottom>
      <diagonal/>
    </border>
    <border>
      <left style="thin">
        <color theme="0" tint="-0.249977111117893"/>
      </left>
      <right style="thin">
        <color theme="0" tint="-0.249977111117893"/>
      </right>
      <top style="thin">
        <color rgb="FFB2B2B2"/>
      </top>
      <bottom style="thin">
        <color rgb="FFB2B2B2"/>
      </bottom>
      <diagonal/>
    </border>
    <border>
      <left style="thin">
        <color rgb="FFB2B2B2"/>
      </left>
      <right style="thin">
        <color rgb="FFB2B2B2"/>
      </right>
      <top style="thin">
        <color rgb="FFB2B2B2"/>
      </top>
      <bottom/>
      <diagonal/>
    </border>
    <border>
      <left style="thin">
        <color theme="0" tint="-0.249977111117893"/>
      </left>
      <right style="thin">
        <color theme="0" tint="-0.249977111117893"/>
      </right>
      <top style="thin">
        <color theme="0" tint="-0.249977111117893"/>
      </top>
      <bottom style="thin">
        <color rgb="FFB2B2B2"/>
      </bottom>
      <diagonal/>
    </border>
    <border>
      <left style="thin">
        <color theme="0" tint="-0.249977111117893"/>
      </left>
      <right style="thin">
        <color theme="0" tint="-0.249977111117893"/>
      </right>
      <top style="thin">
        <color rgb="FFB2B2B2"/>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right/>
      <top/>
      <bottom style="thin">
        <color auto="1"/>
      </bottom>
      <diagonal/>
    </border>
    <border>
      <left style="thin">
        <color theme="2" tint="-0.24994659260841701"/>
      </left>
      <right/>
      <top style="thin">
        <color theme="2" tint="-0.24994659260841701"/>
      </top>
      <bottom style="thin">
        <color theme="2" tint="-0.24994659260841701"/>
      </bottom>
      <diagonal/>
    </border>
    <border>
      <left style="medium">
        <color indexed="64"/>
      </left>
      <right style="medium">
        <color indexed="64"/>
      </right>
      <top/>
      <bottom/>
      <diagonal/>
    </border>
    <border>
      <left style="medium">
        <color indexed="64"/>
      </left>
      <right style="medium">
        <color indexed="64"/>
      </right>
      <top style="thin">
        <color theme="2" tint="-0.24994659260841701"/>
      </top>
      <bottom style="thin">
        <color theme="2" tint="-0.24994659260841701"/>
      </bottom>
      <diagonal/>
    </border>
    <border>
      <left style="medium">
        <color indexed="64"/>
      </left>
      <right style="medium">
        <color indexed="64"/>
      </right>
      <top style="double">
        <color rgb="FF3F3F3F"/>
      </top>
      <bottom style="double">
        <color rgb="FF3F3F3F"/>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auto="1"/>
      </left>
      <right style="medium">
        <color auto="1"/>
      </right>
      <top style="thin">
        <color auto="1"/>
      </top>
      <bottom style="thin">
        <color auto="1"/>
      </bottom>
      <diagonal/>
    </border>
    <border>
      <left/>
      <right/>
      <top/>
      <bottom style="dashed">
        <color auto="1"/>
      </bottom>
      <diagonal/>
    </border>
    <border>
      <left style="thin">
        <color theme="2" tint="-0.24994659260841701"/>
      </left>
      <right/>
      <top style="thin">
        <color indexed="64"/>
      </top>
      <bottom style="thin">
        <color theme="2" tint="-0.24994659260841701"/>
      </bottom>
      <diagonal/>
    </border>
    <border>
      <left style="medium">
        <color indexed="64"/>
      </left>
      <right style="medium">
        <color indexed="64"/>
      </right>
      <top/>
      <bottom style="thin">
        <color theme="2" tint="-0.24994659260841701"/>
      </bottom>
      <diagonal/>
    </border>
    <border>
      <left/>
      <right style="thin">
        <color theme="4"/>
      </right>
      <top/>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top/>
      <bottom style="thin">
        <color theme="2" tint="-0.24994659260841701"/>
      </bottom>
      <diagonal/>
    </border>
    <border>
      <left/>
      <right/>
      <top style="thin">
        <color theme="2" tint="-0.24994659260841701"/>
      </top>
      <bottom style="thin">
        <color theme="2" tint="-0.24994659260841701"/>
      </bottom>
      <diagonal/>
    </border>
    <border>
      <left/>
      <right style="medium">
        <color indexed="64"/>
      </right>
      <top style="thin">
        <color theme="2" tint="-0.24994659260841701"/>
      </top>
      <bottom style="thin">
        <color theme="2" tint="-0.24994659260841701"/>
      </bottom>
      <diagonal/>
    </border>
  </borders>
  <cellStyleXfs count="24">
    <xf numFmtId="0" fontId="0" fillId="0" borderId="0"/>
    <xf numFmtId="0" fontId="2" fillId="2" borderId="1" applyNumberFormat="0" applyAlignment="0" applyProtection="0"/>
    <xf numFmtId="0" fontId="1" fillId="3" borderId="2" applyNumberFormat="0" applyFont="0" applyAlignment="0" applyProtection="0"/>
    <xf numFmtId="0" fontId="5" fillId="5" borderId="3" applyNumberFormat="0" applyAlignment="0" applyProtection="0"/>
    <xf numFmtId="0" fontId="6" fillId="2" borderId="3" applyNumberFormat="0" applyAlignment="0" applyProtection="0"/>
    <xf numFmtId="0" fontId="7" fillId="0" borderId="4" applyNumberFormat="0" applyFill="0" applyAlignment="0" applyProtection="0"/>
    <xf numFmtId="0" fontId="3" fillId="6" borderId="5" applyNumberFormat="0" applyAlignment="0" applyProtection="0"/>
    <xf numFmtId="0" fontId="4" fillId="0" borderId="6" applyNumberFormat="0" applyFill="0" applyAlignment="0" applyProtection="0"/>
    <xf numFmtId="0" fontId="1" fillId="0" borderId="7"/>
    <xf numFmtId="0" fontId="4" fillId="0" borderId="8">
      <alignment horizontal="center" vertical="center" textRotation="90"/>
    </xf>
    <xf numFmtId="0" fontId="4" fillId="0" borderId="8">
      <alignment horizontal="center" vertical="center" textRotation="90"/>
    </xf>
    <xf numFmtId="168"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0" fontId="4" fillId="0" borderId="7">
      <alignment horizontal="center" vertical="center" wrapText="1"/>
    </xf>
    <xf numFmtId="0" fontId="4" fillId="0" borderId="0">
      <alignment horizontal="right"/>
    </xf>
    <xf numFmtId="0" fontId="9" fillId="0" borderId="0" applyNumberFormat="0" applyFill="0" applyBorder="0" applyAlignment="0" applyProtection="0"/>
    <xf numFmtId="0" fontId="1" fillId="0" borderId="0"/>
    <xf numFmtId="0" fontId="1" fillId="0" borderId="0"/>
    <xf numFmtId="9" fontId="32" fillId="0" borderId="0" applyFont="0" applyFill="0" applyBorder="0" applyAlignment="0" applyProtection="0"/>
    <xf numFmtId="0" fontId="33" fillId="11" borderId="0" applyNumberFormat="0" applyBorder="0" applyAlignment="0" applyProtection="0"/>
    <xf numFmtId="0" fontId="31" fillId="0" borderId="0" applyNumberFormat="0" applyFill="0" applyBorder="0" applyAlignment="0" applyProtection="0"/>
    <xf numFmtId="0" fontId="32" fillId="0" borderId="7">
      <alignment horizontal="center"/>
      <protection hidden="1"/>
    </xf>
    <xf numFmtId="0" fontId="37" fillId="16" borderId="0" applyNumberFormat="0" applyBorder="0" applyAlignment="0" applyProtection="0"/>
  </cellStyleXfs>
  <cellXfs count="430">
    <xf numFmtId="0" fontId="0" fillId="0" borderId="0" xfId="0"/>
    <xf numFmtId="2" fontId="20" fillId="2" borderId="3" xfId="4" applyNumberFormat="1" applyFont="1" applyAlignment="1" applyProtection="1">
      <alignment vertical="center"/>
    </xf>
    <xf numFmtId="0" fontId="10" fillId="3" borderId="2" xfId="2" applyFont="1" applyAlignment="1" applyProtection="1">
      <alignment vertical="center" wrapText="1"/>
    </xf>
    <xf numFmtId="0" fontId="10" fillId="9" borderId="0" xfId="2" applyFont="1" applyFill="1" applyBorder="1" applyAlignment="1" applyProtection="1">
      <alignment vertical="center"/>
    </xf>
    <xf numFmtId="0" fontId="10" fillId="3" borderId="2" xfId="2" applyFont="1" applyAlignment="1" applyProtection="1">
      <alignment horizontal="left" vertical="top" wrapText="1"/>
    </xf>
    <xf numFmtId="0" fontId="26" fillId="9" borderId="7" xfId="16" applyFont="1" applyFill="1" applyBorder="1" applyProtection="1"/>
    <xf numFmtId="0" fontId="16" fillId="3" borderId="2" xfId="2" applyFont="1" applyProtection="1"/>
    <xf numFmtId="0" fontId="16" fillId="3" borderId="2" xfId="2" applyFont="1" applyAlignment="1" applyProtection="1">
      <alignment vertical="center"/>
    </xf>
    <xf numFmtId="180" fontId="16" fillId="3" borderId="2" xfId="2" applyNumberFormat="1" applyFont="1" applyAlignment="1" applyProtection="1">
      <alignment horizontal="left"/>
    </xf>
    <xf numFmtId="0" fontId="10" fillId="7" borderId="7" xfId="0" applyFont="1" applyFill="1" applyBorder="1" applyProtection="1">
      <protection locked="0"/>
    </xf>
    <xf numFmtId="0" fontId="10" fillId="7" borderId="7" xfId="0" applyFont="1" applyFill="1" applyBorder="1" applyAlignment="1" applyProtection="1">
      <alignment wrapText="1"/>
      <protection locked="0"/>
    </xf>
    <xf numFmtId="0" fontId="26" fillId="9" borderId="26" xfId="16" applyFont="1" applyFill="1" applyBorder="1" applyProtection="1"/>
    <xf numFmtId="0" fontId="26" fillId="0" borderId="0" xfId="16" applyFont="1" applyFill="1" applyProtection="1"/>
    <xf numFmtId="0" fontId="26" fillId="9" borderId="0" xfId="16" applyFont="1" applyFill="1" applyProtection="1"/>
    <xf numFmtId="0" fontId="26" fillId="9" borderId="0" xfId="16" applyFont="1" applyFill="1" applyAlignment="1" applyProtection="1">
      <alignment vertical="top"/>
    </xf>
    <xf numFmtId="0" fontId="10" fillId="3" borderId="2" xfId="2" applyFont="1" applyAlignment="1" applyProtection="1">
      <alignment vertical="center"/>
    </xf>
    <xf numFmtId="171" fontId="10" fillId="0" borderId="10" xfId="11" applyNumberFormat="1" applyFont="1" applyBorder="1" applyAlignment="1" applyProtection="1">
      <alignment vertical="center"/>
    </xf>
    <xf numFmtId="176" fontId="10" fillId="0" borderId="10" xfId="12" applyNumberFormat="1" applyFont="1" applyBorder="1" applyAlignment="1" applyProtection="1">
      <alignment vertical="center"/>
    </xf>
    <xf numFmtId="176" fontId="10" fillId="9" borderId="33" xfId="12" applyNumberFormat="1" applyFont="1" applyFill="1" applyBorder="1" applyAlignment="1" applyProtection="1">
      <alignment vertical="center"/>
    </xf>
    <xf numFmtId="0" fontId="10" fillId="3" borderId="16" xfId="2" applyFont="1" applyBorder="1" applyAlignment="1" applyProtection="1">
      <alignment vertical="center"/>
    </xf>
    <xf numFmtId="176" fontId="11" fillId="9" borderId="35" xfId="7" applyNumberFormat="1" applyFont="1" applyFill="1" applyBorder="1" applyAlignment="1" applyProtection="1">
      <alignment vertical="center"/>
    </xf>
    <xf numFmtId="176" fontId="10" fillId="9" borderId="37" xfId="7" applyNumberFormat="1" applyFont="1" applyFill="1" applyBorder="1" applyAlignment="1" applyProtection="1">
      <alignment vertical="center"/>
    </xf>
    <xf numFmtId="176" fontId="10" fillId="9" borderId="36" xfId="7" applyNumberFormat="1" applyFont="1" applyFill="1" applyBorder="1" applyAlignment="1" applyProtection="1">
      <alignment vertical="center"/>
    </xf>
    <xf numFmtId="171" fontId="10" fillId="0" borderId="0" xfId="11" applyNumberFormat="1" applyFont="1" applyBorder="1" applyAlignment="1" applyProtection="1">
      <alignment vertical="center"/>
    </xf>
    <xf numFmtId="167" fontId="10" fillId="0" borderId="10" xfId="12" applyFont="1" applyBorder="1" applyAlignment="1" applyProtection="1">
      <alignment vertical="center"/>
    </xf>
    <xf numFmtId="176" fontId="13" fillId="6" borderId="34" xfId="6" applyNumberFormat="1" applyFont="1" applyBorder="1" applyAlignment="1" applyProtection="1">
      <alignment vertical="center"/>
    </xf>
    <xf numFmtId="171" fontId="10" fillId="0" borderId="42" xfId="11" applyNumberFormat="1" applyFont="1" applyBorder="1" applyAlignment="1" applyProtection="1">
      <alignment vertical="center"/>
    </xf>
    <xf numFmtId="176" fontId="10" fillId="0" borderId="42" xfId="12" applyNumberFormat="1" applyFont="1" applyBorder="1" applyAlignment="1" applyProtection="1">
      <alignment vertical="center"/>
    </xf>
    <xf numFmtId="176" fontId="10" fillId="9" borderId="40" xfId="12" applyNumberFormat="1" applyFont="1" applyFill="1" applyBorder="1" applyAlignment="1" applyProtection="1">
      <alignment vertical="center"/>
    </xf>
    <xf numFmtId="171" fontId="10" fillId="0" borderId="39" xfId="11" applyNumberFormat="1" applyFont="1" applyBorder="1" applyAlignment="1" applyProtection="1">
      <alignment vertical="center"/>
    </xf>
    <xf numFmtId="167" fontId="10" fillId="9" borderId="10" xfId="12" applyFont="1" applyFill="1" applyBorder="1" applyAlignment="1" applyProtection="1">
      <alignment vertical="center"/>
    </xf>
    <xf numFmtId="177" fontId="10" fillId="0" borderId="10" xfId="11" applyNumberFormat="1" applyFont="1" applyBorder="1" applyAlignment="1" applyProtection="1">
      <alignment vertical="center"/>
    </xf>
    <xf numFmtId="176" fontId="11" fillId="9" borderId="35" xfId="12" applyNumberFormat="1" applyFont="1" applyFill="1" applyBorder="1" applyAlignment="1" applyProtection="1">
      <alignment vertical="center"/>
    </xf>
    <xf numFmtId="176" fontId="17" fillId="2" borderId="1" xfId="12" applyNumberFormat="1" applyFont="1" applyFill="1" applyBorder="1" applyProtection="1"/>
    <xf numFmtId="176" fontId="11" fillId="0" borderId="6" xfId="12" applyNumberFormat="1" applyFont="1" applyBorder="1" applyProtection="1"/>
    <xf numFmtId="176" fontId="13" fillId="6" borderId="5" xfId="6" applyNumberFormat="1" applyFont="1" applyAlignment="1" applyProtection="1">
      <alignment vertical="center"/>
    </xf>
    <xf numFmtId="176" fontId="17" fillId="2" borderId="1" xfId="1" applyNumberFormat="1" applyFont="1" applyAlignment="1" applyProtection="1">
      <alignment vertical="center"/>
    </xf>
    <xf numFmtId="0" fontId="26" fillId="9" borderId="7" xfId="16" applyFont="1" applyFill="1" applyBorder="1" applyAlignment="1" applyProtection="1">
      <alignment vertical="center"/>
    </xf>
    <xf numFmtId="0" fontId="10" fillId="3" borderId="9" xfId="2" applyFont="1" applyBorder="1" applyAlignment="1" applyProtection="1">
      <alignment vertical="center"/>
    </xf>
    <xf numFmtId="176" fontId="10" fillId="8" borderId="7" xfId="12" applyNumberFormat="1" applyFont="1" applyFill="1" applyBorder="1" applyAlignment="1" applyProtection="1">
      <alignment vertical="center"/>
    </xf>
    <xf numFmtId="176" fontId="10" fillId="0" borderId="7" xfId="12" applyNumberFormat="1" applyFont="1" applyBorder="1" applyAlignment="1" applyProtection="1">
      <alignment vertical="center"/>
    </xf>
    <xf numFmtId="176" fontId="17" fillId="0" borderId="1" xfId="12" applyNumberFormat="1" applyFont="1" applyFill="1" applyBorder="1" applyAlignment="1" applyProtection="1">
      <alignment vertical="center"/>
    </xf>
    <xf numFmtId="176" fontId="17" fillId="0" borderId="1" xfId="12" applyNumberFormat="1" applyFont="1" applyBorder="1" applyAlignment="1" applyProtection="1">
      <alignment vertical="center"/>
    </xf>
    <xf numFmtId="1" fontId="10" fillId="0" borderId="7" xfId="12" applyNumberFormat="1" applyFont="1" applyBorder="1" applyAlignment="1" applyProtection="1">
      <alignment vertical="center"/>
    </xf>
    <xf numFmtId="176" fontId="17" fillId="10" borderId="1" xfId="1" applyNumberFormat="1" applyFont="1" applyFill="1" applyAlignment="1" applyProtection="1">
      <alignment vertical="center"/>
    </xf>
    <xf numFmtId="49" fontId="28" fillId="0" borderId="7" xfId="11" applyNumberFormat="1" applyFont="1" applyFill="1" applyBorder="1" applyAlignment="1" applyProtection="1">
      <alignment horizontal="left" vertical="center" wrapText="1"/>
    </xf>
    <xf numFmtId="176" fontId="17" fillId="0" borderId="1" xfId="1" applyNumberFormat="1" applyFont="1" applyFill="1" applyAlignment="1" applyProtection="1">
      <alignment vertical="center"/>
    </xf>
    <xf numFmtId="2" fontId="10" fillId="9" borderId="7" xfId="11" applyNumberFormat="1" applyFont="1" applyFill="1" applyBorder="1" applyAlignment="1" applyProtection="1">
      <alignment vertical="center"/>
    </xf>
    <xf numFmtId="167" fontId="10" fillId="8" borderId="7" xfId="12" applyFont="1" applyFill="1" applyBorder="1" applyAlignment="1" applyProtection="1">
      <alignment vertical="center"/>
    </xf>
    <xf numFmtId="167" fontId="10" fillId="0" borderId="7" xfId="12" applyFont="1" applyBorder="1" applyAlignment="1" applyProtection="1">
      <alignment vertical="center"/>
    </xf>
    <xf numFmtId="167" fontId="17" fillId="0" borderId="1" xfId="1" applyNumberFormat="1" applyFont="1" applyFill="1" applyAlignment="1" applyProtection="1">
      <alignment vertical="center"/>
    </xf>
    <xf numFmtId="176" fontId="10" fillId="9" borderId="7" xfId="12" applyNumberFormat="1" applyFont="1" applyFill="1" applyBorder="1" applyAlignment="1" applyProtection="1">
      <alignment vertical="center"/>
    </xf>
    <xf numFmtId="176" fontId="17" fillId="9" borderId="1" xfId="1" applyNumberFormat="1" applyFont="1" applyFill="1" applyAlignment="1" applyProtection="1">
      <alignment vertical="center"/>
    </xf>
    <xf numFmtId="176" fontId="10" fillId="8" borderId="7" xfId="12" applyNumberFormat="1" applyFont="1" applyFill="1" applyBorder="1" applyAlignment="1" applyProtection="1">
      <alignment horizontal="left" vertical="center"/>
    </xf>
    <xf numFmtId="2" fontId="10" fillId="0" borderId="7" xfId="12" applyNumberFormat="1" applyFont="1" applyBorder="1" applyAlignment="1" applyProtection="1">
      <alignment vertical="center"/>
    </xf>
    <xf numFmtId="167" fontId="10" fillId="0" borderId="0" xfId="12" applyFont="1" applyBorder="1" applyAlignment="1" applyProtection="1">
      <alignment vertical="center"/>
    </xf>
    <xf numFmtId="4" fontId="10" fillId="0" borderId="7" xfId="11" applyNumberFormat="1" applyFont="1" applyFill="1" applyBorder="1" applyAlignment="1" applyProtection="1">
      <alignment vertical="center"/>
    </xf>
    <xf numFmtId="0" fontId="10" fillId="3" borderId="9" xfId="2" applyFont="1" applyBorder="1" applyAlignment="1" applyProtection="1">
      <alignment vertical="center" wrapText="1"/>
    </xf>
    <xf numFmtId="167" fontId="10" fillId="9" borderId="7" xfId="12" applyFont="1" applyFill="1" applyBorder="1" applyAlignment="1" applyProtection="1">
      <alignment vertical="center"/>
    </xf>
    <xf numFmtId="9" fontId="10" fillId="9" borderId="7" xfId="13" applyFont="1" applyFill="1" applyBorder="1" applyAlignment="1" applyProtection="1">
      <alignment vertical="center"/>
    </xf>
    <xf numFmtId="0" fontId="10" fillId="3" borderId="9" xfId="2" quotePrefix="1" applyFont="1" applyBorder="1" applyAlignment="1" applyProtection="1">
      <alignment vertical="center"/>
    </xf>
    <xf numFmtId="169" fontId="10" fillId="0" borderId="7" xfId="13" applyNumberFormat="1" applyFont="1" applyBorder="1" applyAlignment="1" applyProtection="1">
      <alignment horizontal="right" vertical="center"/>
    </xf>
    <xf numFmtId="168" fontId="19" fillId="0" borderId="4" xfId="11" applyFont="1" applyBorder="1" applyAlignment="1" applyProtection="1">
      <alignment horizontal="right" vertical="center"/>
    </xf>
    <xf numFmtId="2" fontId="19" fillId="0" borderId="4" xfId="5" applyNumberFormat="1" applyFont="1" applyAlignment="1" applyProtection="1">
      <alignment horizontal="right" vertical="center"/>
    </xf>
    <xf numFmtId="176" fontId="10" fillId="0" borderId="0" xfId="12" applyNumberFormat="1" applyFont="1" applyBorder="1" applyAlignment="1" applyProtection="1">
      <alignment vertical="center"/>
    </xf>
    <xf numFmtId="167" fontId="10" fillId="3" borderId="9" xfId="2" applyNumberFormat="1" applyFont="1" applyBorder="1" applyAlignment="1" applyProtection="1">
      <alignment vertical="center"/>
    </xf>
    <xf numFmtId="4" fontId="10" fillId="0" borderId="7" xfId="11" applyNumberFormat="1" applyFont="1" applyFill="1" applyBorder="1" applyAlignment="1" applyProtection="1">
      <alignment horizontal="right" vertical="center"/>
    </xf>
    <xf numFmtId="4" fontId="16" fillId="7" borderId="7" xfId="0" applyNumberFormat="1" applyFont="1" applyFill="1" applyBorder="1" applyAlignment="1" applyProtection="1">
      <alignment horizontal="right" vertical="center" wrapText="1"/>
      <protection locked="0"/>
    </xf>
    <xf numFmtId="0" fontId="16" fillId="7" borderId="7" xfId="0" applyFont="1" applyFill="1" applyBorder="1" applyAlignment="1" applyProtection="1">
      <alignment horizontal="center" vertical="center" wrapText="1"/>
      <protection locked="0"/>
    </xf>
    <xf numFmtId="3" fontId="16" fillId="7" borderId="7" xfId="0" applyNumberFormat="1" applyFont="1" applyFill="1" applyBorder="1" applyAlignment="1" applyProtection="1">
      <alignment horizontal="right" vertical="center" wrapText="1"/>
      <protection locked="0"/>
    </xf>
    <xf numFmtId="49" fontId="10" fillId="7" borderId="7" xfId="11" applyNumberFormat="1" applyFont="1" applyFill="1" applyBorder="1" applyAlignment="1" applyProtection="1">
      <alignment horizontal="left" vertical="center" wrapText="1"/>
      <protection locked="0"/>
    </xf>
    <xf numFmtId="1" fontId="16" fillId="7" borderId="7" xfId="0" applyNumberFormat="1" applyFont="1" applyFill="1" applyBorder="1" applyAlignment="1" applyProtection="1">
      <alignment horizontal="right" vertical="center" wrapText="1"/>
      <protection locked="0"/>
    </xf>
    <xf numFmtId="176" fontId="16" fillId="7" borderId="7" xfId="12" applyNumberFormat="1" applyFont="1" applyFill="1" applyBorder="1" applyAlignment="1" applyProtection="1">
      <alignment horizontal="right" vertical="center" wrapText="1"/>
      <protection locked="0"/>
    </xf>
    <xf numFmtId="49" fontId="10" fillId="7" borderId="7" xfId="11" applyNumberFormat="1" applyFont="1" applyFill="1" applyBorder="1" applyAlignment="1" applyProtection="1">
      <alignment horizontal="left" vertical="center"/>
      <protection locked="0"/>
    </xf>
    <xf numFmtId="0" fontId="16" fillId="7" borderId="7" xfId="0" applyFont="1" applyFill="1" applyBorder="1" applyAlignment="1" applyProtection="1">
      <alignment horizontal="left" vertical="center" wrapText="1"/>
      <protection locked="0"/>
    </xf>
    <xf numFmtId="2" fontId="16" fillId="7" borderId="7" xfId="0" applyNumberFormat="1" applyFont="1" applyFill="1" applyBorder="1" applyAlignment="1" applyProtection="1">
      <alignment horizontal="right" vertical="center" wrapText="1"/>
      <protection locked="0"/>
    </xf>
    <xf numFmtId="0" fontId="10" fillId="7" borderId="7" xfId="0" applyFont="1" applyFill="1" applyBorder="1" applyAlignment="1" applyProtection="1">
      <alignment vertical="center" wrapText="1"/>
      <protection locked="0"/>
    </xf>
    <xf numFmtId="0" fontId="10" fillId="7" borderId="7" xfId="0" applyFont="1" applyFill="1" applyBorder="1" applyAlignment="1" applyProtection="1">
      <alignment vertical="center"/>
      <protection locked="0"/>
    </xf>
    <xf numFmtId="0" fontId="16" fillId="7" borderId="7" xfId="0" applyFont="1" applyFill="1" applyBorder="1" applyAlignment="1" applyProtection="1">
      <alignment horizontal="left" vertical="center"/>
      <protection locked="0"/>
    </xf>
    <xf numFmtId="9" fontId="16" fillId="7" borderId="7" xfId="13" applyFont="1" applyFill="1" applyBorder="1" applyAlignment="1" applyProtection="1">
      <alignment horizontal="right" vertical="center" wrapText="1"/>
      <protection locked="0"/>
    </xf>
    <xf numFmtId="0" fontId="10" fillId="7" borderId="28" xfId="0" applyFont="1" applyFill="1" applyBorder="1" applyAlignment="1" applyProtection="1">
      <alignment vertical="center"/>
      <protection locked="0"/>
    </xf>
    <xf numFmtId="0" fontId="10" fillId="7" borderId="9" xfId="2" applyFont="1" applyFill="1" applyBorder="1" applyAlignment="1" applyProtection="1">
      <alignment vertical="center"/>
      <protection locked="0"/>
    </xf>
    <xf numFmtId="171" fontId="10" fillId="7" borderId="7" xfId="11" applyNumberFormat="1" applyFont="1" applyFill="1" applyBorder="1" applyAlignment="1" applyProtection="1">
      <alignment vertical="center"/>
      <protection locked="0"/>
    </xf>
    <xf numFmtId="168" fontId="10" fillId="7" borderId="7" xfId="11" applyFont="1" applyFill="1" applyBorder="1" applyAlignment="1" applyProtection="1">
      <alignment horizontal="left" vertical="center"/>
      <protection locked="0"/>
    </xf>
    <xf numFmtId="9" fontId="10" fillId="7" borderId="7" xfId="13" applyFont="1" applyFill="1" applyBorder="1" applyAlignment="1" applyProtection="1">
      <alignment horizontal="right" vertical="center"/>
      <protection locked="0"/>
    </xf>
    <xf numFmtId="167" fontId="16" fillId="7" borderId="7" xfId="12" applyFont="1" applyFill="1" applyBorder="1" applyAlignment="1" applyProtection="1">
      <alignment horizontal="right" vertical="center" wrapText="1"/>
      <protection locked="0"/>
    </xf>
    <xf numFmtId="167" fontId="10" fillId="7" borderId="7" xfId="12" applyFont="1" applyFill="1" applyBorder="1" applyAlignment="1" applyProtection="1">
      <alignment vertical="center"/>
      <protection locked="0"/>
    </xf>
    <xf numFmtId="4" fontId="10" fillId="7" borderId="7" xfId="0" applyNumberFormat="1" applyFont="1" applyFill="1" applyBorder="1" applyAlignment="1" applyProtection="1">
      <alignment horizontal="right" vertical="center"/>
      <protection locked="0"/>
    </xf>
    <xf numFmtId="4" fontId="10" fillId="0" borderId="7" xfId="12" applyNumberFormat="1" applyFont="1" applyBorder="1" applyAlignment="1" applyProtection="1">
      <alignment vertical="center"/>
    </xf>
    <xf numFmtId="3" fontId="10" fillId="0" borderId="7" xfId="12" applyNumberFormat="1" applyFont="1" applyBorder="1" applyAlignment="1" applyProtection="1">
      <alignment vertical="center"/>
    </xf>
    <xf numFmtId="3" fontId="10" fillId="9" borderId="7" xfId="12" applyNumberFormat="1" applyFont="1" applyFill="1" applyBorder="1" applyAlignment="1" applyProtection="1">
      <alignment vertical="center"/>
    </xf>
    <xf numFmtId="1" fontId="10" fillId="0" borderId="7" xfId="11" applyNumberFormat="1" applyFont="1" applyFill="1" applyBorder="1" applyAlignment="1" applyProtection="1">
      <alignment vertical="center"/>
    </xf>
    <xf numFmtId="49" fontId="25" fillId="0" borderId="7" xfId="11" applyNumberFormat="1" applyFont="1" applyFill="1" applyBorder="1" applyAlignment="1" applyProtection="1">
      <alignment horizontal="left" vertical="center" wrapText="1"/>
    </xf>
    <xf numFmtId="169" fontId="10" fillId="9" borderId="7" xfId="13" applyNumberFormat="1" applyFont="1" applyFill="1" applyBorder="1" applyAlignment="1" applyProtection="1">
      <alignment horizontal="right" vertical="center"/>
    </xf>
    <xf numFmtId="4" fontId="10" fillId="9" borderId="7" xfId="11" applyNumberFormat="1" applyFont="1" applyFill="1" applyBorder="1" applyAlignment="1" applyProtection="1">
      <alignment horizontal="right" vertical="center"/>
    </xf>
    <xf numFmtId="176" fontId="10" fillId="0" borderId="25" xfId="12" applyNumberFormat="1" applyFont="1" applyBorder="1" applyAlignment="1" applyProtection="1">
      <alignment vertical="center"/>
    </xf>
    <xf numFmtId="4" fontId="10" fillId="7" borderId="7" xfId="11" applyNumberFormat="1" applyFont="1" applyFill="1" applyBorder="1" applyAlignment="1" applyProtection="1">
      <alignment horizontal="right" vertical="center"/>
      <protection locked="0"/>
    </xf>
    <xf numFmtId="1" fontId="10" fillId="7" borderId="7" xfId="11" applyNumberFormat="1" applyFont="1" applyFill="1" applyBorder="1" applyAlignment="1" applyProtection="1">
      <alignment horizontal="right" vertical="center"/>
      <protection locked="0"/>
    </xf>
    <xf numFmtId="176" fontId="17" fillId="2" borderId="1" xfId="12" applyNumberFormat="1" applyFont="1" applyFill="1" applyBorder="1" applyAlignment="1" applyProtection="1">
      <alignment vertical="center"/>
    </xf>
    <xf numFmtId="167" fontId="10" fillId="0" borderId="0" xfId="12" applyFont="1" applyAlignment="1" applyProtection="1">
      <alignment vertical="center"/>
    </xf>
    <xf numFmtId="3" fontId="10" fillId="0" borderId="7" xfId="12" applyNumberFormat="1" applyFont="1" applyBorder="1" applyAlignment="1" applyProtection="1">
      <alignment horizontal="right" vertical="center"/>
    </xf>
    <xf numFmtId="176" fontId="17" fillId="10" borderId="1" xfId="12" applyNumberFormat="1" applyFont="1" applyFill="1" applyBorder="1" applyAlignment="1" applyProtection="1">
      <alignment vertical="center"/>
    </xf>
    <xf numFmtId="176" fontId="17" fillId="9" borderId="1" xfId="12" applyNumberFormat="1" applyFont="1" applyFill="1" applyBorder="1" applyAlignment="1" applyProtection="1">
      <alignment vertical="center"/>
    </xf>
    <xf numFmtId="4" fontId="10" fillId="0" borderId="7" xfId="12" applyNumberFormat="1" applyFont="1" applyBorder="1" applyAlignment="1" applyProtection="1">
      <alignment horizontal="right" vertical="center"/>
    </xf>
    <xf numFmtId="0" fontId="10" fillId="3" borderId="9" xfId="2" applyNumberFormat="1" applyFont="1" applyBorder="1" applyAlignment="1" applyProtection="1">
      <alignment vertical="center"/>
    </xf>
    <xf numFmtId="167" fontId="10" fillId="8" borderId="7" xfId="12" applyFont="1" applyFill="1" applyBorder="1" applyProtection="1"/>
    <xf numFmtId="4" fontId="10" fillId="0" borderId="7" xfId="13" applyNumberFormat="1" applyFont="1" applyBorder="1" applyAlignment="1" applyProtection="1">
      <alignment horizontal="right" vertical="center"/>
    </xf>
    <xf numFmtId="9" fontId="10" fillId="7" borderId="7" xfId="13" applyFont="1" applyFill="1" applyBorder="1" applyAlignment="1" applyProtection="1">
      <alignment vertical="center"/>
      <protection locked="0"/>
    </xf>
    <xf numFmtId="1" fontId="10" fillId="0" borderId="0" xfId="12" applyNumberFormat="1" applyFont="1" applyBorder="1" applyAlignment="1" applyProtection="1">
      <alignment vertical="center"/>
    </xf>
    <xf numFmtId="3" fontId="10" fillId="0" borderId="7" xfId="11" applyNumberFormat="1" applyFont="1" applyFill="1" applyBorder="1" applyAlignment="1" applyProtection="1">
      <alignment horizontal="right" vertical="center"/>
    </xf>
    <xf numFmtId="167" fontId="17" fillId="2" borderId="1" xfId="1" applyNumberFormat="1" applyFont="1" applyAlignment="1" applyProtection="1">
      <alignment vertical="center"/>
    </xf>
    <xf numFmtId="0" fontId="10" fillId="3" borderId="2" xfId="2" applyNumberFormat="1" applyFont="1" applyAlignment="1" applyProtection="1">
      <alignment horizontal="left" vertical="center"/>
    </xf>
    <xf numFmtId="167" fontId="10" fillId="3" borderId="2" xfId="2" applyNumberFormat="1" applyFont="1" applyAlignment="1" applyProtection="1">
      <alignment vertical="center"/>
    </xf>
    <xf numFmtId="0" fontId="10" fillId="3" borderId="2" xfId="2" applyNumberFormat="1" applyFont="1" applyAlignment="1" applyProtection="1">
      <alignment vertical="center"/>
    </xf>
    <xf numFmtId="0" fontId="22" fillId="3" borderId="2" xfId="2" applyFont="1" applyAlignment="1" applyProtection="1">
      <alignment vertical="center"/>
    </xf>
    <xf numFmtId="0" fontId="23" fillId="5" borderId="3" xfId="3" applyFont="1" applyAlignment="1" applyProtection="1">
      <alignment vertical="center"/>
    </xf>
    <xf numFmtId="169" fontId="23" fillId="5" borderId="3" xfId="3" applyNumberFormat="1" applyFont="1" applyAlignment="1" applyProtection="1">
      <alignment vertical="center"/>
    </xf>
    <xf numFmtId="180" fontId="23" fillId="5" borderId="3" xfId="3" applyNumberFormat="1" applyFont="1" applyAlignment="1" applyProtection="1">
      <alignment horizontal="center" vertical="center"/>
    </xf>
    <xf numFmtId="167" fontId="24" fillId="2" borderId="7" xfId="12" applyFont="1" applyFill="1" applyBorder="1" applyAlignment="1" applyProtection="1">
      <alignment vertical="center"/>
    </xf>
    <xf numFmtId="179" fontId="10" fillId="0" borderId="2" xfId="2" applyNumberFormat="1" applyFont="1" applyFill="1" applyAlignment="1" applyProtection="1">
      <alignment vertical="center"/>
    </xf>
    <xf numFmtId="0" fontId="10" fillId="0" borderId="2" xfId="2" applyFont="1" applyFill="1" applyAlignment="1" applyProtection="1">
      <alignment vertical="center"/>
    </xf>
    <xf numFmtId="0" fontId="10" fillId="0" borderId="18" xfId="2" applyFont="1" applyFill="1" applyBorder="1" applyAlignment="1" applyProtection="1">
      <alignment vertical="center"/>
    </xf>
    <xf numFmtId="167" fontId="10" fillId="0" borderId="2" xfId="12" applyFont="1" applyFill="1" applyBorder="1" applyAlignment="1" applyProtection="1">
      <alignment vertical="center"/>
    </xf>
    <xf numFmtId="179" fontId="10" fillId="0" borderId="2" xfId="12" applyNumberFormat="1" applyFont="1" applyFill="1" applyBorder="1" applyAlignment="1" applyProtection="1">
      <alignment vertical="center"/>
    </xf>
    <xf numFmtId="0" fontId="10" fillId="3" borderId="2" xfId="2" applyFont="1" applyAlignment="1" applyProtection="1">
      <alignment horizontal="left" vertical="center"/>
    </xf>
    <xf numFmtId="0" fontId="10" fillId="0" borderId="0" xfId="2" applyFont="1" applyFill="1" applyBorder="1" applyAlignment="1" applyProtection="1">
      <alignment vertical="center"/>
    </xf>
    <xf numFmtId="179" fontId="10" fillId="0" borderId="2" xfId="2" applyNumberFormat="1" applyFont="1" applyFill="1" applyAlignment="1" applyProtection="1">
      <alignment horizontal="center" vertical="center"/>
    </xf>
    <xf numFmtId="167" fontId="10" fillId="0" borderId="2" xfId="12" applyFont="1" applyBorder="1" applyAlignment="1" applyProtection="1">
      <alignment vertical="center"/>
    </xf>
    <xf numFmtId="0" fontId="10" fillId="0" borderId="13" xfId="2" applyFont="1" applyFill="1" applyBorder="1" applyAlignment="1" applyProtection="1">
      <alignment vertical="center"/>
    </xf>
    <xf numFmtId="0" fontId="10" fillId="0" borderId="16" xfId="2" applyFont="1" applyFill="1" applyBorder="1" applyAlignment="1" applyProtection="1">
      <alignment vertical="center"/>
    </xf>
    <xf numFmtId="0" fontId="10" fillId="0" borderId="19" xfId="2" applyFont="1" applyFill="1" applyBorder="1" applyAlignment="1" applyProtection="1">
      <alignment vertical="center"/>
    </xf>
    <xf numFmtId="0" fontId="10" fillId="0" borderId="20" xfId="2" applyFont="1" applyFill="1" applyBorder="1" applyAlignment="1" applyProtection="1">
      <alignment vertical="center"/>
    </xf>
    <xf numFmtId="167" fontId="10" fillId="0" borderId="11" xfId="12" applyFont="1" applyFill="1" applyBorder="1" applyAlignment="1" applyProtection="1">
      <alignment vertical="center"/>
    </xf>
    <xf numFmtId="0" fontId="10" fillId="0" borderId="21" xfId="2" applyFont="1" applyFill="1" applyBorder="1" applyAlignment="1" applyProtection="1">
      <alignment vertical="center"/>
    </xf>
    <xf numFmtId="0" fontId="10" fillId="0" borderId="9" xfId="2" applyFont="1" applyFill="1" applyBorder="1" applyAlignment="1" applyProtection="1">
      <alignment vertical="center"/>
    </xf>
    <xf numFmtId="0" fontId="10" fillId="0" borderId="22" xfId="2" applyFont="1" applyFill="1" applyBorder="1" applyAlignment="1" applyProtection="1">
      <alignment vertical="center"/>
    </xf>
    <xf numFmtId="167" fontId="10" fillId="0" borderId="21" xfId="12" applyFont="1" applyFill="1" applyBorder="1" applyAlignment="1" applyProtection="1">
      <alignment vertical="center"/>
    </xf>
    <xf numFmtId="167" fontId="10" fillId="0" borderId="22" xfId="12" applyFont="1" applyFill="1" applyBorder="1" applyAlignment="1" applyProtection="1">
      <alignment vertical="center"/>
    </xf>
    <xf numFmtId="167" fontId="10" fillId="0" borderId="23" xfId="12" applyFont="1" applyFill="1" applyBorder="1" applyAlignment="1" applyProtection="1">
      <alignment vertical="center"/>
    </xf>
    <xf numFmtId="167" fontId="10" fillId="0" borderId="16" xfId="12" applyFont="1" applyFill="1" applyBorder="1" applyAlignment="1" applyProtection="1">
      <alignment vertical="center"/>
    </xf>
    <xf numFmtId="0" fontId="10" fillId="3" borderId="2" xfId="2" quotePrefix="1" applyFont="1" applyAlignment="1" applyProtection="1">
      <alignment horizontal="left" vertical="center"/>
    </xf>
    <xf numFmtId="0" fontId="26" fillId="3" borderId="2" xfId="2" applyFont="1" applyAlignment="1" applyProtection="1">
      <alignment vertical="center"/>
    </xf>
    <xf numFmtId="0" fontId="26" fillId="3" borderId="2" xfId="2" applyFont="1" applyAlignment="1" applyProtection="1">
      <alignment vertical="center" wrapText="1"/>
    </xf>
    <xf numFmtId="167" fontId="10" fillId="0" borderId="0" xfId="12" applyFont="1" applyFill="1" applyBorder="1" applyAlignment="1" applyProtection="1">
      <alignment vertical="center"/>
    </xf>
    <xf numFmtId="167" fontId="10" fillId="7" borderId="7" xfId="12" applyFont="1" applyFill="1" applyBorder="1" applyAlignment="1" applyProtection="1">
      <alignment vertical="center" wrapText="1"/>
      <protection locked="0"/>
    </xf>
    <xf numFmtId="0" fontId="10" fillId="7" borderId="11" xfId="2" applyFont="1" applyFill="1" applyBorder="1" applyAlignment="1" applyProtection="1">
      <alignment vertical="center"/>
      <protection locked="0"/>
    </xf>
    <xf numFmtId="0" fontId="10" fillId="3" borderId="2" xfId="2" applyFont="1" applyProtection="1"/>
    <xf numFmtId="175" fontId="24" fillId="2" borderId="1" xfId="1" applyNumberFormat="1" applyFont="1" applyProtection="1"/>
    <xf numFmtId="0" fontId="24" fillId="2" borderId="1" xfId="1" applyFont="1" applyProtection="1"/>
    <xf numFmtId="1" fontId="24" fillId="2" borderId="1" xfId="1" applyNumberFormat="1" applyFont="1" applyProtection="1"/>
    <xf numFmtId="2" fontId="24" fillId="2" borderId="1" xfId="1" applyNumberFormat="1" applyFont="1" applyProtection="1"/>
    <xf numFmtId="9" fontId="24" fillId="2" borderId="1" xfId="13" applyFont="1" applyFill="1" applyBorder="1" applyProtection="1"/>
    <xf numFmtId="3" fontId="17" fillId="2" borderId="1" xfId="1" applyNumberFormat="1" applyFont="1" applyProtection="1"/>
    <xf numFmtId="175" fontId="17" fillId="2" borderId="1" xfId="1" applyNumberFormat="1" applyFont="1" applyProtection="1"/>
    <xf numFmtId="0" fontId="26" fillId="0" borderId="0" xfId="16" applyFont="1" applyProtection="1"/>
    <xf numFmtId="0" fontId="10" fillId="3" borderId="11" xfId="2" applyFont="1" applyBorder="1" applyAlignment="1" applyProtection="1">
      <alignment vertical="center"/>
    </xf>
    <xf numFmtId="0" fontId="16" fillId="3" borderId="9" xfId="2" applyFont="1" applyBorder="1" applyAlignment="1" applyProtection="1">
      <alignment horizontal="left" vertical="center"/>
    </xf>
    <xf numFmtId="0" fontId="13" fillId="3" borderId="11" xfId="2" applyFont="1" applyBorder="1" applyAlignment="1" applyProtection="1">
      <alignment horizontal="center" vertical="center"/>
    </xf>
    <xf numFmtId="0" fontId="16" fillId="3" borderId="2" xfId="2" applyFont="1" applyAlignment="1" applyProtection="1">
      <alignment horizontal="left" vertical="center"/>
    </xf>
    <xf numFmtId="9" fontId="10" fillId="0" borderId="0" xfId="13" applyFont="1" applyAlignment="1" applyProtection="1">
      <alignment vertical="center"/>
    </xf>
    <xf numFmtId="0" fontId="26" fillId="3" borderId="11" xfId="16" applyFont="1" applyFill="1" applyBorder="1" applyAlignment="1" applyProtection="1">
      <alignment vertical="center"/>
    </xf>
    <xf numFmtId="9" fontId="10" fillId="0" borderId="10" xfId="13" applyFont="1" applyBorder="1" applyAlignment="1" applyProtection="1">
      <alignment horizontal="center" vertical="center"/>
    </xf>
    <xf numFmtId="9" fontId="10" fillId="0" borderId="12" xfId="13" applyFont="1" applyBorder="1" applyAlignment="1" applyProtection="1">
      <alignment horizontal="center" vertical="center"/>
    </xf>
    <xf numFmtId="2" fontId="10" fillId="7" borderId="7" xfId="2" applyNumberFormat="1" applyFont="1" applyFill="1" applyBorder="1" applyAlignment="1" applyProtection="1">
      <alignment horizontal="center" vertical="center"/>
      <protection locked="0"/>
    </xf>
    <xf numFmtId="0" fontId="10" fillId="7" borderId="7" xfId="2" applyFont="1" applyFill="1" applyBorder="1" applyAlignment="1" applyProtection="1">
      <alignment horizontal="center" vertical="center"/>
      <protection locked="0"/>
    </xf>
    <xf numFmtId="175" fontId="10" fillId="7" borderId="7" xfId="2" applyNumberFormat="1" applyFont="1" applyFill="1" applyBorder="1" applyAlignment="1" applyProtection="1">
      <alignment horizontal="center" vertical="center"/>
      <protection locked="0"/>
    </xf>
    <xf numFmtId="9" fontId="10" fillId="7" borderId="7" xfId="13" applyFont="1" applyFill="1" applyBorder="1" applyAlignment="1" applyProtection="1">
      <alignment horizontal="center" vertical="center"/>
      <protection locked="0"/>
    </xf>
    <xf numFmtId="0" fontId="29" fillId="9" borderId="7" xfId="21" applyFont="1" applyFill="1" applyBorder="1" applyProtection="1"/>
    <xf numFmtId="169" fontId="10" fillId="0" borderId="7" xfId="13" applyNumberFormat="1" applyFont="1" applyBorder="1" applyAlignment="1" applyProtection="1">
      <alignment horizontal="center"/>
    </xf>
    <xf numFmtId="0" fontId="29" fillId="7" borderId="7" xfId="21" applyFont="1" applyFill="1" applyBorder="1" applyProtection="1">
      <protection locked="0"/>
    </xf>
    <xf numFmtId="175" fontId="10" fillId="7" borderId="7" xfId="0" applyNumberFormat="1" applyFont="1" applyFill="1" applyBorder="1" applyAlignment="1" applyProtection="1">
      <alignment horizontal="center"/>
      <protection locked="0"/>
    </xf>
    <xf numFmtId="169" fontId="10" fillId="7" borderId="7" xfId="13" applyNumberFormat="1" applyFont="1" applyFill="1" applyBorder="1" applyAlignment="1" applyProtection="1">
      <alignment horizontal="center"/>
      <protection locked="0"/>
    </xf>
    <xf numFmtId="0" fontId="10" fillId="7" borderId="7" xfId="0" applyFont="1" applyFill="1" applyBorder="1" applyAlignment="1" applyProtection="1">
      <alignment horizontal="center"/>
      <protection locked="0"/>
    </xf>
    <xf numFmtId="2" fontId="10" fillId="7" borderId="7" xfId="0" applyNumberFormat="1" applyFont="1" applyFill="1" applyBorder="1" applyAlignment="1" applyProtection="1">
      <alignment horizontal="center"/>
      <protection locked="0"/>
    </xf>
    <xf numFmtId="1" fontId="30" fillId="11" borderId="7" xfId="20" applyNumberFormat="1" applyFont="1" applyBorder="1" applyAlignment="1" applyProtection="1">
      <alignment horizontal="center"/>
    </xf>
    <xf numFmtId="0" fontId="29" fillId="0" borderId="7" xfId="21" applyFont="1" applyFill="1" applyBorder="1" applyAlignment="1" applyProtection="1">
      <alignment horizontal="center" textRotation="90"/>
    </xf>
    <xf numFmtId="0" fontId="10" fillId="3" borderId="2" xfId="2" applyFont="1" applyAlignment="1" applyProtection="1">
      <alignment horizontal="left" indent="1"/>
    </xf>
    <xf numFmtId="0" fontId="10" fillId="3" borderId="16" xfId="2" applyFont="1" applyBorder="1" applyProtection="1"/>
    <xf numFmtId="169" fontId="10" fillId="0" borderId="7" xfId="13" applyNumberFormat="1" applyFont="1" applyFill="1" applyBorder="1" applyAlignment="1" applyProtection="1">
      <alignment horizontal="center"/>
    </xf>
    <xf numFmtId="169" fontId="30" fillId="11" borderId="7" xfId="20" applyNumberFormat="1" applyFont="1" applyBorder="1" applyAlignment="1" applyProtection="1">
      <alignment horizontal="center"/>
    </xf>
    <xf numFmtId="169" fontId="10" fillId="0" borderId="0" xfId="13" applyNumberFormat="1" applyFont="1" applyProtection="1"/>
    <xf numFmtId="175" fontId="30" fillId="11" borderId="7" xfId="20" applyNumberFormat="1" applyFont="1" applyBorder="1" applyAlignment="1" applyProtection="1">
      <alignment horizontal="center"/>
    </xf>
    <xf numFmtId="1" fontId="17" fillId="2" borderId="1" xfId="1" applyNumberFormat="1" applyFont="1" applyAlignment="1" applyProtection="1">
      <alignment horizontal="center"/>
    </xf>
    <xf numFmtId="171" fontId="17" fillId="2" borderId="1" xfId="1" applyNumberFormat="1" applyFont="1" applyAlignment="1" applyProtection="1">
      <alignment horizontal="center"/>
    </xf>
    <xf numFmtId="171" fontId="17" fillId="2" borderId="1" xfId="1" applyNumberFormat="1" applyFont="1" applyAlignment="1" applyProtection="1"/>
    <xf numFmtId="0" fontId="29" fillId="7" borderId="7" xfId="21" applyFont="1" applyFill="1" applyBorder="1" applyAlignment="1" applyProtection="1">
      <alignment horizontal="center" textRotation="90"/>
      <protection locked="0"/>
    </xf>
    <xf numFmtId="1" fontId="10" fillId="7" borderId="7" xfId="0" applyNumberFormat="1" applyFont="1" applyFill="1" applyBorder="1" applyAlignment="1" applyProtection="1">
      <alignment horizontal="center"/>
      <protection locked="0"/>
    </xf>
    <xf numFmtId="175" fontId="16" fillId="0" borderId="7" xfId="20" applyNumberFormat="1" applyFont="1" applyFill="1" applyBorder="1" applyAlignment="1" applyProtection="1">
      <alignment horizontal="center"/>
    </xf>
    <xf numFmtId="169" fontId="16" fillId="0" borderId="7" xfId="20" applyNumberFormat="1" applyFont="1" applyFill="1" applyBorder="1" applyAlignment="1" applyProtection="1">
      <alignment horizontal="center"/>
    </xf>
    <xf numFmtId="0" fontId="16" fillId="0" borderId="7" xfId="13" applyNumberFormat="1" applyFont="1" applyFill="1" applyBorder="1" applyAlignment="1" applyProtection="1">
      <alignment horizontal="center"/>
    </xf>
    <xf numFmtId="2" fontId="17" fillId="2" borderId="1" xfId="1" applyNumberFormat="1" applyFont="1" applyAlignment="1" applyProtection="1">
      <alignment horizontal="center"/>
    </xf>
    <xf numFmtId="0" fontId="29" fillId="0" borderId="7" xfId="21" applyFont="1" applyFill="1" applyBorder="1" applyAlignment="1" applyProtection="1">
      <alignment horizontal="center" textRotation="90" wrapText="1"/>
    </xf>
    <xf numFmtId="0" fontId="10" fillId="3" borderId="2" xfId="2" applyFont="1" applyAlignment="1" applyProtection="1">
      <alignment horizontal="left" wrapText="1" indent="1"/>
    </xf>
    <xf numFmtId="0" fontId="10" fillId="3" borderId="16" xfId="2" applyFont="1" applyBorder="1" applyAlignment="1" applyProtection="1">
      <alignment wrapText="1"/>
    </xf>
    <xf numFmtId="0" fontId="16" fillId="0" borderId="7" xfId="20" applyNumberFormat="1" applyFont="1" applyFill="1" applyBorder="1" applyAlignment="1" applyProtection="1">
      <alignment horizontal="center" vertical="center" wrapText="1"/>
    </xf>
    <xf numFmtId="0" fontId="10" fillId="0" borderId="7" xfId="13" applyNumberFormat="1" applyFont="1" applyFill="1" applyBorder="1" applyAlignment="1" applyProtection="1">
      <alignment horizontal="center"/>
    </xf>
    <xf numFmtId="0" fontId="16" fillId="0" borderId="7" xfId="20" applyNumberFormat="1" applyFont="1" applyFill="1" applyBorder="1" applyAlignment="1" applyProtection="1">
      <alignment horizontal="center"/>
    </xf>
    <xf numFmtId="175" fontId="10" fillId="0" borderId="7" xfId="13" applyNumberFormat="1" applyFont="1" applyFill="1" applyBorder="1" applyAlignment="1" applyProtection="1">
      <alignment horizontal="center"/>
    </xf>
    <xf numFmtId="1" fontId="10" fillId="0" borderId="7" xfId="13" applyNumberFormat="1" applyFont="1" applyFill="1" applyBorder="1" applyAlignment="1" applyProtection="1">
      <alignment horizontal="center"/>
    </xf>
    <xf numFmtId="1" fontId="16" fillId="0" borderId="7" xfId="20" applyNumberFormat="1" applyFont="1" applyFill="1" applyBorder="1" applyAlignment="1" applyProtection="1">
      <alignment horizontal="center"/>
    </xf>
    <xf numFmtId="175" fontId="17" fillId="2" borderId="1" xfId="1" applyNumberFormat="1" applyFont="1" applyAlignment="1" applyProtection="1">
      <alignment horizontal="center"/>
    </xf>
    <xf numFmtId="175" fontId="17" fillId="2" borderId="1" xfId="1" applyNumberFormat="1" applyFont="1" applyAlignment="1" applyProtection="1">
      <alignment horizontal="center" vertical="center"/>
    </xf>
    <xf numFmtId="0" fontId="29" fillId="7" borderId="7" xfId="21" applyFont="1" applyFill="1" applyBorder="1" applyAlignment="1" applyProtection="1">
      <alignment horizontal="center" textRotation="90" wrapText="1"/>
      <protection locked="0"/>
    </xf>
    <xf numFmtId="0" fontId="10" fillId="7" borderId="7" xfId="0" applyFont="1" applyFill="1" applyBorder="1" applyAlignment="1" applyProtection="1">
      <alignment horizontal="center" vertical="center" wrapText="1"/>
      <protection locked="0"/>
    </xf>
    <xf numFmtId="0" fontId="10" fillId="7" borderId="7" xfId="0" applyFont="1" applyFill="1" applyBorder="1" applyAlignment="1" applyProtection="1">
      <alignment horizontal="center" vertical="center"/>
      <protection locked="0"/>
    </xf>
    <xf numFmtId="0" fontId="10" fillId="7" borderId="7" xfId="13" applyNumberFormat="1" applyFont="1" applyFill="1" applyBorder="1" applyAlignment="1" applyProtection="1">
      <alignment horizontal="center"/>
      <protection locked="0"/>
    </xf>
    <xf numFmtId="175" fontId="10" fillId="7" borderId="7" xfId="13" applyNumberFormat="1" applyFont="1" applyFill="1" applyBorder="1" applyAlignment="1" applyProtection="1">
      <alignment horizontal="center"/>
      <protection locked="0"/>
    </xf>
    <xf numFmtId="1" fontId="10" fillId="7" borderId="7" xfId="13" applyNumberFormat="1" applyFont="1" applyFill="1" applyBorder="1" applyAlignment="1" applyProtection="1">
      <alignment horizontal="center"/>
      <protection locked="0"/>
    </xf>
    <xf numFmtId="183" fontId="17" fillId="2" borderId="1" xfId="1" applyNumberFormat="1" applyFont="1" applyAlignment="1" applyProtection="1">
      <alignment vertical="center"/>
    </xf>
    <xf numFmtId="183" fontId="10" fillId="8" borderId="7" xfId="12" applyNumberFormat="1" applyFont="1" applyFill="1" applyBorder="1" applyAlignment="1" applyProtection="1">
      <alignment vertical="center"/>
    </xf>
    <xf numFmtId="183" fontId="16" fillId="7" borderId="7" xfId="12" applyNumberFormat="1" applyFont="1" applyFill="1" applyBorder="1" applyAlignment="1" applyProtection="1">
      <alignment horizontal="right" vertical="center" wrapText="1"/>
      <protection locked="0"/>
    </xf>
    <xf numFmtId="183" fontId="10" fillId="0" borderId="7" xfId="12" applyNumberFormat="1" applyFont="1" applyBorder="1" applyAlignment="1" applyProtection="1">
      <alignment vertical="center"/>
    </xf>
    <xf numFmtId="167" fontId="10" fillId="3" borderId="2" xfId="2" applyNumberFormat="1" applyFont="1" applyAlignment="1" applyProtection="1">
      <alignment vertical="center" wrapText="1"/>
    </xf>
    <xf numFmtId="0" fontId="10" fillId="3" borderId="2" xfId="2" applyFont="1" applyAlignment="1" applyProtection="1">
      <alignment horizontal="left" vertical="center" wrapText="1"/>
    </xf>
    <xf numFmtId="9" fontId="25" fillId="0" borderId="2" xfId="2" applyNumberFormat="1" applyFont="1" applyFill="1" applyAlignment="1" applyProtection="1">
      <alignment horizontal="center" vertical="center"/>
    </xf>
    <xf numFmtId="44" fontId="16" fillId="7" borderId="7" xfId="12" applyNumberFormat="1" applyFont="1" applyFill="1" applyBorder="1" applyAlignment="1" applyProtection="1">
      <alignment horizontal="right" vertical="center" wrapText="1"/>
      <protection locked="0"/>
    </xf>
    <xf numFmtId="171" fontId="10" fillId="17" borderId="31" xfId="11" applyNumberFormat="1" applyFont="1" applyFill="1" applyBorder="1" applyAlignment="1" applyProtection="1">
      <alignment vertical="center"/>
    </xf>
    <xf numFmtId="176" fontId="10" fillId="17" borderId="44" xfId="12" applyNumberFormat="1" applyFont="1" applyFill="1" applyBorder="1" applyAlignment="1" applyProtection="1">
      <alignment vertical="center"/>
    </xf>
    <xf numFmtId="49" fontId="25" fillId="7" borderId="7" xfId="11" applyNumberFormat="1" applyFont="1" applyFill="1" applyBorder="1" applyAlignment="1" applyProtection="1">
      <alignment horizontal="left" vertical="center"/>
      <protection locked="0"/>
    </xf>
    <xf numFmtId="0" fontId="10" fillId="0" borderId="0" xfId="0" applyFont="1" applyProtection="1"/>
    <xf numFmtId="0" fontId="13" fillId="14" borderId="0" xfId="0" applyFont="1" applyFill="1" applyAlignment="1" applyProtection="1">
      <alignment horizontal="left" vertical="center"/>
    </xf>
    <xf numFmtId="0" fontId="13" fillId="14" borderId="0" xfId="0" applyFont="1" applyFill="1" applyAlignment="1" applyProtection="1">
      <alignment vertical="center"/>
    </xf>
    <xf numFmtId="0" fontId="13" fillId="15" borderId="0" xfId="0" applyFont="1" applyFill="1" applyAlignment="1" applyProtection="1">
      <alignment vertical="center"/>
    </xf>
    <xf numFmtId="0" fontId="10" fillId="0" borderId="0" xfId="0" applyFont="1" applyAlignment="1" applyProtection="1">
      <alignment horizontal="left"/>
    </xf>
    <xf numFmtId="0" fontId="11" fillId="0" borderId="0" xfId="0" applyFont="1" applyAlignment="1" applyProtection="1">
      <alignment horizontal="left"/>
    </xf>
    <xf numFmtId="0" fontId="11" fillId="0" borderId="0" xfId="0" applyFont="1" applyAlignment="1" applyProtection="1">
      <alignment horizontal="right"/>
    </xf>
    <xf numFmtId="0" fontId="12" fillId="0" borderId="0" xfId="0" applyFont="1" applyProtection="1"/>
    <xf numFmtId="0" fontId="10" fillId="0" borderId="0" xfId="0" applyFont="1" applyAlignment="1" applyProtection="1">
      <alignment horizontal="right"/>
    </xf>
    <xf numFmtId="0" fontId="11" fillId="0" borderId="0" xfId="0" applyFont="1" applyAlignment="1" applyProtection="1">
      <alignment horizontal="left" vertical="top"/>
    </xf>
    <xf numFmtId="0" fontId="11" fillId="0" borderId="0" xfId="0" applyFont="1" applyAlignment="1" applyProtection="1">
      <alignment horizontal="right" vertical="top"/>
    </xf>
    <xf numFmtId="0" fontId="11" fillId="0" borderId="0" xfId="0" applyFont="1" applyProtection="1"/>
    <xf numFmtId="0" fontId="12" fillId="9" borderId="0" xfId="0" applyFont="1" applyFill="1" applyAlignment="1" applyProtection="1">
      <alignment vertical="top"/>
    </xf>
    <xf numFmtId="0" fontId="10" fillId="9" borderId="0" xfId="0" applyFont="1" applyFill="1" applyProtection="1"/>
    <xf numFmtId="0" fontId="10" fillId="9" borderId="27" xfId="0" applyFont="1" applyFill="1" applyBorder="1" applyProtection="1"/>
    <xf numFmtId="0" fontId="12" fillId="9" borderId="0" xfId="0" applyFont="1" applyFill="1" applyProtection="1"/>
    <xf numFmtId="0" fontId="36" fillId="4" borderId="0" xfId="0" applyFont="1" applyFill="1" applyAlignment="1" applyProtection="1">
      <alignment vertical="center"/>
    </xf>
    <xf numFmtId="0" fontId="34" fillId="4" borderId="0" xfId="0" applyFont="1" applyFill="1" applyProtection="1"/>
    <xf numFmtId="0" fontId="11" fillId="9" borderId="0" xfId="0" applyFont="1" applyFill="1" applyProtection="1"/>
    <xf numFmtId="0" fontId="35" fillId="9" borderId="0" xfId="0" applyFont="1" applyFill="1" applyProtection="1"/>
    <xf numFmtId="0" fontId="35" fillId="9" borderId="0" xfId="0" applyFont="1" applyFill="1" applyAlignment="1" applyProtection="1">
      <alignment horizontal="right"/>
    </xf>
    <xf numFmtId="0" fontId="10" fillId="9" borderId="0" xfId="0" applyFont="1" applyFill="1" applyAlignment="1" applyProtection="1">
      <alignment horizontal="left"/>
    </xf>
    <xf numFmtId="0" fontId="36" fillId="4" borderId="0" xfId="0" applyFont="1" applyFill="1" applyAlignment="1" applyProtection="1">
      <alignment horizontal="left" vertical="center"/>
    </xf>
    <xf numFmtId="0" fontId="10" fillId="4" borderId="0" xfId="0" applyFont="1" applyFill="1" applyProtection="1"/>
    <xf numFmtId="0" fontId="12" fillId="0" borderId="0" xfId="0" applyFont="1" applyAlignment="1" applyProtection="1">
      <alignment vertical="center"/>
    </xf>
    <xf numFmtId="0" fontId="10" fillId="0" borderId="0" xfId="0" applyFont="1" applyAlignment="1" applyProtection="1">
      <alignment vertical="center"/>
    </xf>
    <xf numFmtId="0" fontId="10" fillId="0" borderId="30" xfId="0" applyFont="1" applyBorder="1" applyAlignment="1" applyProtection="1">
      <alignment vertical="center"/>
    </xf>
    <xf numFmtId="0" fontId="13" fillId="4" borderId="0" xfId="0" applyFont="1" applyFill="1" applyAlignment="1" applyProtection="1">
      <alignment horizontal="left" vertical="center" indent="1"/>
    </xf>
    <xf numFmtId="0" fontId="13" fillId="4" borderId="0" xfId="0" applyFont="1" applyFill="1" applyAlignment="1" applyProtection="1">
      <alignment horizontal="center" vertical="center"/>
    </xf>
    <xf numFmtId="0" fontId="10" fillId="0" borderId="31" xfId="0" applyFont="1" applyBorder="1" applyAlignment="1" applyProtection="1">
      <alignment vertical="center"/>
    </xf>
    <xf numFmtId="0" fontId="10" fillId="17" borderId="45" xfId="0" applyFont="1" applyFill="1" applyBorder="1" applyAlignment="1" applyProtection="1">
      <alignment vertical="center"/>
    </xf>
    <xf numFmtId="0" fontId="10" fillId="9" borderId="32" xfId="0" applyFont="1" applyFill="1" applyBorder="1" applyAlignment="1" applyProtection="1">
      <alignment vertical="center"/>
    </xf>
    <xf numFmtId="0" fontId="11" fillId="13" borderId="26" xfId="0" applyFont="1" applyFill="1" applyBorder="1" applyAlignment="1" applyProtection="1">
      <alignment vertical="center"/>
    </xf>
    <xf numFmtId="0" fontId="10" fillId="13" borderId="29" xfId="0" applyFont="1" applyFill="1" applyBorder="1" applyAlignment="1" applyProtection="1">
      <alignment vertical="center"/>
    </xf>
    <xf numFmtId="0" fontId="10" fillId="13" borderId="29" xfId="0" applyFont="1" applyFill="1" applyBorder="1" applyAlignment="1" applyProtection="1">
      <alignment horizontal="right" vertical="center"/>
    </xf>
    <xf numFmtId="0" fontId="10" fillId="13" borderId="27" xfId="0" applyFont="1" applyFill="1" applyBorder="1" applyAlignment="1" applyProtection="1">
      <alignment horizontal="right" vertical="center"/>
    </xf>
    <xf numFmtId="0" fontId="10" fillId="0" borderId="0" xfId="0" applyFont="1" applyAlignment="1" applyProtection="1">
      <alignment horizontal="right" vertical="center"/>
    </xf>
    <xf numFmtId="0" fontId="11" fillId="0" borderId="0" xfId="0" applyFont="1" applyAlignment="1" applyProtection="1">
      <alignment horizontal="right" vertical="center"/>
    </xf>
    <xf numFmtId="0" fontId="25" fillId="0" borderId="0" xfId="0" applyFont="1" applyAlignment="1" applyProtection="1">
      <alignment vertical="center"/>
    </xf>
    <xf numFmtId="0" fontId="10" fillId="0" borderId="38" xfId="0" applyFont="1" applyBorder="1" applyAlignment="1" applyProtection="1">
      <alignment vertical="center"/>
    </xf>
    <xf numFmtId="0" fontId="13" fillId="4" borderId="26" xfId="0" applyFont="1" applyFill="1" applyBorder="1" applyAlignment="1" applyProtection="1">
      <alignment horizontal="left" vertical="center" indent="1"/>
    </xf>
    <xf numFmtId="0" fontId="13" fillId="4" borderId="29" xfId="0" applyFont="1" applyFill="1" applyBorder="1" applyAlignment="1" applyProtection="1">
      <alignment horizontal="center" vertical="center"/>
    </xf>
    <xf numFmtId="0" fontId="10" fillId="0" borderId="43" xfId="0" applyFont="1" applyBorder="1" applyAlignment="1" applyProtection="1">
      <alignment vertical="center"/>
    </xf>
    <xf numFmtId="0" fontId="10" fillId="13" borderId="27" xfId="0" applyFont="1" applyFill="1" applyBorder="1" applyAlignment="1" applyProtection="1">
      <alignment vertical="center"/>
    </xf>
    <xf numFmtId="0" fontId="10" fillId="9" borderId="0" xfId="0" applyFont="1" applyFill="1" applyAlignment="1" applyProtection="1">
      <alignment vertical="center"/>
    </xf>
    <xf numFmtId="0" fontId="11" fillId="0" borderId="0" xfId="0" applyFont="1" applyAlignment="1" applyProtection="1">
      <alignment horizontal="center" vertical="center"/>
    </xf>
    <xf numFmtId="0" fontId="11" fillId="0" borderId="0" xfId="0" applyFont="1" applyAlignment="1" applyProtection="1">
      <alignment vertical="center"/>
    </xf>
    <xf numFmtId="0" fontId="14" fillId="0" borderId="0" xfId="0" applyFont="1" applyAlignment="1" applyProtection="1">
      <alignment vertical="center"/>
    </xf>
    <xf numFmtId="0" fontId="15" fillId="0" borderId="0" xfId="0" applyFont="1" applyAlignment="1" applyProtection="1">
      <alignment vertical="center"/>
    </xf>
    <xf numFmtId="0" fontId="15" fillId="0" borderId="0" xfId="0" applyFont="1" applyAlignment="1" applyProtection="1">
      <alignment horizontal="center" vertical="center" wrapText="1"/>
    </xf>
    <xf numFmtId="0" fontId="15" fillId="0" borderId="0" xfId="0" applyFont="1" applyAlignment="1" applyProtection="1">
      <alignment horizontal="left" vertical="center" wrapText="1"/>
    </xf>
    <xf numFmtId="0" fontId="18" fillId="0" borderId="0" xfId="0" applyFont="1" applyAlignment="1" applyProtection="1">
      <alignment horizontal="right" vertical="center"/>
    </xf>
    <xf numFmtId="0" fontId="18" fillId="0" borderId="0" xfId="0" applyFont="1" applyAlignment="1" applyProtection="1">
      <alignment vertical="center"/>
    </xf>
    <xf numFmtId="0" fontId="14" fillId="9" borderId="0" xfId="0" applyFont="1" applyFill="1" applyAlignment="1" applyProtection="1">
      <alignment vertical="center"/>
    </xf>
    <xf numFmtId="0" fontId="15" fillId="9" borderId="0" xfId="0" applyFont="1" applyFill="1" applyAlignment="1" applyProtection="1">
      <alignment vertical="center"/>
    </xf>
    <xf numFmtId="0" fontId="15" fillId="0" borderId="30" xfId="0" applyFont="1" applyBorder="1" applyAlignment="1" applyProtection="1">
      <alignment horizontal="left" vertical="center" wrapText="1"/>
    </xf>
    <xf numFmtId="0" fontId="15" fillId="9" borderId="0" xfId="0" applyFont="1" applyFill="1" applyAlignment="1" applyProtection="1">
      <alignment horizontal="center" vertical="center" wrapText="1"/>
    </xf>
    <xf numFmtId="0" fontId="15" fillId="9" borderId="0" xfId="0" applyFont="1" applyFill="1" applyAlignment="1" applyProtection="1">
      <alignment horizontal="left" vertical="center" wrapText="1"/>
    </xf>
    <xf numFmtId="177" fontId="10" fillId="9" borderId="0" xfId="0" applyNumberFormat="1" applyFont="1" applyFill="1" applyAlignment="1" applyProtection="1">
      <alignment vertical="center"/>
    </xf>
    <xf numFmtId="176" fontId="10" fillId="9" borderId="0" xfId="0" applyNumberFormat="1" applyFont="1" applyFill="1" applyAlignment="1" applyProtection="1">
      <alignment vertical="center"/>
    </xf>
    <xf numFmtId="2" fontId="10" fillId="9" borderId="7" xfId="0" applyNumberFormat="1" applyFont="1" applyFill="1" applyBorder="1" applyAlignment="1" applyProtection="1">
      <alignment vertical="center"/>
    </xf>
    <xf numFmtId="0" fontId="18" fillId="9" borderId="0" xfId="0" applyFont="1" applyFill="1" applyAlignment="1" applyProtection="1">
      <alignment horizontal="right" vertical="center"/>
    </xf>
    <xf numFmtId="0" fontId="18" fillId="9" borderId="0" xfId="0" applyFont="1" applyFill="1" applyAlignment="1" applyProtection="1">
      <alignment vertical="center"/>
    </xf>
    <xf numFmtId="176" fontId="11" fillId="0" borderId="0" xfId="0" applyNumberFormat="1" applyFont="1" applyAlignment="1" applyProtection="1">
      <alignment vertical="center"/>
    </xf>
    <xf numFmtId="1" fontId="10" fillId="9" borderId="7" xfId="0" applyNumberFormat="1" applyFont="1" applyFill="1" applyBorder="1" applyAlignment="1" applyProtection="1">
      <alignment vertical="center"/>
    </xf>
    <xf numFmtId="3" fontId="16" fillId="9" borderId="7" xfId="0" applyNumberFormat="1" applyFont="1" applyFill="1" applyBorder="1" applyAlignment="1" applyProtection="1">
      <alignment horizontal="right" vertical="center" wrapText="1"/>
    </xf>
    <xf numFmtId="177" fontId="10" fillId="0" borderId="7" xfId="0" applyNumberFormat="1" applyFont="1" applyBorder="1" applyAlignment="1" applyProtection="1">
      <alignment vertical="center"/>
    </xf>
    <xf numFmtId="171" fontId="10" fillId="9" borderId="7" xfId="0" applyNumberFormat="1" applyFont="1" applyFill="1" applyBorder="1" applyAlignment="1" applyProtection="1">
      <alignment horizontal="right" vertical="center"/>
    </xf>
    <xf numFmtId="176" fontId="10" fillId="0" borderId="0" xfId="0" applyNumberFormat="1" applyFont="1" applyAlignment="1" applyProtection="1">
      <alignment vertical="center"/>
    </xf>
    <xf numFmtId="3" fontId="10" fillId="9" borderId="7" xfId="0" applyNumberFormat="1" applyFont="1" applyFill="1" applyBorder="1" applyAlignment="1" applyProtection="1">
      <alignment vertical="center"/>
    </xf>
    <xf numFmtId="4" fontId="10" fillId="0" borderId="0" xfId="0" applyNumberFormat="1" applyFont="1" applyAlignment="1" applyProtection="1">
      <alignment vertical="center"/>
    </xf>
    <xf numFmtId="4" fontId="10" fillId="9" borderId="7" xfId="0" applyNumberFormat="1" applyFont="1" applyFill="1" applyBorder="1" applyAlignment="1" applyProtection="1">
      <alignment vertical="center"/>
    </xf>
    <xf numFmtId="4" fontId="10" fillId="0" borderId="0" xfId="0" applyNumberFormat="1" applyFont="1" applyAlignment="1" applyProtection="1">
      <alignment horizontal="right" vertical="center"/>
    </xf>
    <xf numFmtId="2" fontId="10" fillId="0" borderId="0" xfId="0" applyNumberFormat="1" applyFont="1" applyAlignment="1" applyProtection="1">
      <alignment vertical="center"/>
    </xf>
    <xf numFmtId="0" fontId="21" fillId="0" borderId="0" xfId="0" applyFont="1" applyAlignment="1" applyProtection="1">
      <alignment horizontal="left" vertical="center"/>
    </xf>
    <xf numFmtId="4" fontId="11" fillId="0" borderId="7" xfId="0" applyNumberFormat="1" applyFont="1" applyBorder="1" applyAlignment="1" applyProtection="1">
      <alignment horizontal="right" vertical="center"/>
    </xf>
    <xf numFmtId="4" fontId="11" fillId="9" borderId="7" xfId="0" applyNumberFormat="1" applyFont="1" applyFill="1" applyBorder="1" applyAlignment="1" applyProtection="1">
      <alignment horizontal="right" vertical="center"/>
    </xf>
    <xf numFmtId="2" fontId="10" fillId="9" borderId="7" xfId="0" applyNumberFormat="1" applyFont="1" applyFill="1" applyBorder="1" applyAlignment="1" applyProtection="1">
      <alignment horizontal="right" vertical="center"/>
    </xf>
    <xf numFmtId="4" fontId="11" fillId="9" borderId="7" xfId="0" applyNumberFormat="1" applyFont="1" applyFill="1" applyBorder="1" applyAlignment="1" applyProtection="1">
      <alignment vertical="center"/>
    </xf>
    <xf numFmtId="4" fontId="10" fillId="0" borderId="7" xfId="0" applyNumberFormat="1" applyFont="1" applyBorder="1" applyAlignment="1" applyProtection="1">
      <alignment vertical="center"/>
    </xf>
    <xf numFmtId="0" fontId="10" fillId="0" borderId="7" xfId="0" applyFont="1" applyBorder="1" applyAlignment="1" applyProtection="1">
      <alignment vertical="center"/>
    </xf>
    <xf numFmtId="0" fontId="10" fillId="0" borderId="28" xfId="0" applyFont="1" applyBorder="1" applyAlignment="1" applyProtection="1">
      <alignment vertical="center"/>
    </xf>
    <xf numFmtId="3" fontId="10" fillId="0" borderId="7" xfId="0" applyNumberFormat="1" applyFont="1" applyBorder="1" applyAlignment="1" applyProtection="1">
      <alignment vertical="center"/>
    </xf>
    <xf numFmtId="0" fontId="12" fillId="9" borderId="0" xfId="0" applyFont="1" applyFill="1" applyAlignment="1" applyProtection="1">
      <alignment vertical="center"/>
    </xf>
    <xf numFmtId="0" fontId="11" fillId="9" borderId="0" xfId="0" applyFont="1" applyFill="1" applyAlignment="1" applyProtection="1">
      <alignment vertical="center"/>
    </xf>
    <xf numFmtId="0" fontId="11" fillId="9" borderId="0" xfId="0" applyFont="1" applyFill="1" applyAlignment="1" applyProtection="1">
      <alignment horizontal="center" vertical="center"/>
    </xf>
    <xf numFmtId="171" fontId="25" fillId="0" borderId="7" xfId="11" applyNumberFormat="1" applyFont="1" applyFill="1" applyBorder="1" applyAlignment="1" applyProtection="1">
      <alignment vertical="center"/>
    </xf>
    <xf numFmtId="4" fontId="10" fillId="0" borderId="7" xfId="0" applyNumberFormat="1" applyFont="1" applyBorder="1" applyAlignment="1" applyProtection="1">
      <alignment horizontal="right" vertical="center"/>
    </xf>
    <xf numFmtId="0" fontId="28" fillId="9" borderId="0" xfId="0" applyFont="1" applyFill="1" applyAlignment="1" applyProtection="1">
      <alignment vertical="center"/>
    </xf>
    <xf numFmtId="4" fontId="10" fillId="9" borderId="0" xfId="0" applyNumberFormat="1" applyFont="1" applyFill="1" applyAlignment="1" applyProtection="1">
      <alignment vertical="center"/>
    </xf>
    <xf numFmtId="0" fontId="11" fillId="9" borderId="0" xfId="0" applyFont="1" applyFill="1" applyAlignment="1" applyProtection="1">
      <alignment horizontal="right" vertical="center"/>
    </xf>
    <xf numFmtId="1" fontId="10" fillId="9" borderId="0" xfId="0" applyNumberFormat="1" applyFont="1" applyFill="1" applyAlignment="1" applyProtection="1">
      <alignment vertical="center"/>
    </xf>
    <xf numFmtId="1" fontId="10" fillId="0" borderId="7" xfId="0" applyNumberFormat="1" applyFont="1" applyBorder="1" applyAlignment="1" applyProtection="1">
      <alignment vertical="center"/>
    </xf>
    <xf numFmtId="1" fontId="10" fillId="0" borderId="0" xfId="0" applyNumberFormat="1" applyFont="1" applyAlignment="1" applyProtection="1">
      <alignment vertical="center"/>
    </xf>
    <xf numFmtId="168" fontId="10" fillId="0" borderId="0" xfId="0" applyNumberFormat="1" applyFont="1" applyAlignment="1" applyProtection="1">
      <alignment vertical="center"/>
    </xf>
    <xf numFmtId="168" fontId="18" fillId="9" borderId="0" xfId="0" applyNumberFormat="1" applyFont="1" applyFill="1" applyAlignment="1" applyProtection="1">
      <alignment vertical="center"/>
    </xf>
    <xf numFmtId="0" fontId="28" fillId="0" borderId="0" xfId="0" applyFont="1" applyAlignment="1" applyProtection="1">
      <alignment vertical="center"/>
    </xf>
    <xf numFmtId="176" fontId="10" fillId="0" borderId="7" xfId="0" applyNumberFormat="1" applyFont="1" applyBorder="1" applyAlignment="1" applyProtection="1">
      <alignment vertical="center"/>
    </xf>
    <xf numFmtId="0" fontId="10" fillId="0" borderId="0" xfId="0" applyFont="1" applyAlignment="1" applyProtection="1">
      <alignment horizontal="left" vertical="center"/>
    </xf>
    <xf numFmtId="168" fontId="10" fillId="9" borderId="7" xfId="0" applyNumberFormat="1" applyFont="1" applyFill="1" applyBorder="1" applyAlignment="1" applyProtection="1">
      <alignment horizontal="right" vertical="center"/>
    </xf>
    <xf numFmtId="168" fontId="15" fillId="0" borderId="0" xfId="0" applyNumberFormat="1" applyFont="1" applyAlignment="1" applyProtection="1">
      <alignment horizontal="center" vertical="center" wrapText="1"/>
    </xf>
    <xf numFmtId="4" fontId="10" fillId="9" borderId="7" xfId="0" applyNumberFormat="1" applyFont="1" applyFill="1" applyBorder="1" applyAlignment="1" applyProtection="1">
      <alignment horizontal="right" vertical="center"/>
    </xf>
    <xf numFmtId="2" fontId="10" fillId="9" borderId="0" xfId="0" applyNumberFormat="1" applyFont="1" applyFill="1" applyAlignment="1" applyProtection="1">
      <alignment vertical="center"/>
    </xf>
    <xf numFmtId="3" fontId="10" fillId="9" borderId="0" xfId="0" applyNumberFormat="1" applyFont="1" applyFill="1" applyAlignment="1" applyProtection="1">
      <alignment vertical="center"/>
    </xf>
    <xf numFmtId="3" fontId="11" fillId="9" borderId="0" xfId="0" applyNumberFormat="1" applyFont="1" applyFill="1" applyAlignment="1" applyProtection="1">
      <alignment vertical="center"/>
    </xf>
    <xf numFmtId="176" fontId="11" fillId="9" borderId="0" xfId="0" applyNumberFormat="1" applyFont="1" applyFill="1" applyAlignment="1" applyProtection="1">
      <alignment vertical="center"/>
    </xf>
    <xf numFmtId="2" fontId="16" fillId="9" borderId="7" xfId="0" applyNumberFormat="1" applyFont="1" applyFill="1" applyBorder="1" applyAlignment="1" applyProtection="1">
      <alignment horizontal="right" vertical="center" wrapText="1"/>
    </xf>
    <xf numFmtId="4" fontId="16" fillId="9" borderId="7" xfId="0" applyNumberFormat="1" applyFont="1" applyFill="1" applyBorder="1" applyAlignment="1" applyProtection="1">
      <alignment horizontal="right" vertical="center" wrapText="1"/>
    </xf>
    <xf numFmtId="171" fontId="10" fillId="9" borderId="0" xfId="0" applyNumberFormat="1" applyFont="1" applyFill="1" applyAlignment="1" applyProtection="1">
      <alignment vertical="center"/>
    </xf>
    <xf numFmtId="0" fontId="10" fillId="9" borderId="7" xfId="0" applyFont="1" applyFill="1" applyBorder="1" applyAlignment="1" applyProtection="1">
      <alignment vertical="center"/>
    </xf>
    <xf numFmtId="49" fontId="25" fillId="0" borderId="25" xfId="11" applyNumberFormat="1" applyFont="1" applyFill="1" applyBorder="1" applyAlignment="1" applyProtection="1">
      <alignment horizontal="left" vertical="center" wrapText="1"/>
    </xf>
    <xf numFmtId="49" fontId="25" fillId="0" borderId="28" xfId="11" applyNumberFormat="1" applyFont="1" applyFill="1" applyBorder="1" applyAlignment="1" applyProtection="1">
      <alignment horizontal="left" vertical="center"/>
    </xf>
    <xf numFmtId="4" fontId="11" fillId="0" borderId="7" xfId="0" applyNumberFormat="1" applyFont="1" applyBorder="1" applyAlignment="1" applyProtection="1">
      <alignment vertical="center"/>
    </xf>
    <xf numFmtId="2" fontId="10" fillId="0" borderId="7" xfId="0" applyNumberFormat="1" applyFont="1" applyBorder="1" applyAlignment="1" applyProtection="1">
      <alignment vertical="center"/>
    </xf>
    <xf numFmtId="0" fontId="10" fillId="9" borderId="0" xfId="0" applyFont="1" applyFill="1" applyAlignment="1" applyProtection="1">
      <alignment horizontal="right" vertical="center"/>
    </xf>
    <xf numFmtId="168" fontId="10" fillId="9" borderId="0" xfId="0" applyNumberFormat="1" applyFont="1" applyFill="1" applyAlignment="1" applyProtection="1">
      <alignment vertical="center"/>
    </xf>
    <xf numFmtId="167" fontId="10" fillId="9" borderId="0" xfId="12" applyFont="1" applyFill="1" applyAlignment="1" applyProtection="1">
      <alignment vertical="center"/>
    </xf>
    <xf numFmtId="168" fontId="18" fillId="9" borderId="0" xfId="0" applyNumberFormat="1" applyFont="1" applyFill="1" applyAlignment="1" applyProtection="1">
      <alignment horizontal="left" vertical="center"/>
    </xf>
    <xf numFmtId="171" fontId="10" fillId="9" borderId="7" xfId="0" applyNumberFormat="1" applyFont="1" applyFill="1" applyBorder="1" applyAlignment="1" applyProtection="1">
      <alignment vertical="center"/>
    </xf>
    <xf numFmtId="3" fontId="10" fillId="0" borderId="0" xfId="0" applyNumberFormat="1" applyFont="1" applyAlignment="1" applyProtection="1">
      <alignment horizontal="right" vertical="center"/>
    </xf>
    <xf numFmtId="4" fontId="10" fillId="9" borderId="0" xfId="0" applyNumberFormat="1" applyFont="1" applyFill="1" applyAlignment="1" applyProtection="1">
      <alignment horizontal="right" vertical="center"/>
    </xf>
    <xf numFmtId="3" fontId="11" fillId="0" borderId="0" xfId="0" applyNumberFormat="1" applyFont="1" applyAlignment="1" applyProtection="1">
      <alignment horizontal="right" vertical="center"/>
    </xf>
    <xf numFmtId="4" fontId="11" fillId="0" borderId="0" xfId="0" applyNumberFormat="1" applyFont="1" applyAlignment="1" applyProtection="1">
      <alignment vertical="center"/>
    </xf>
    <xf numFmtId="3" fontId="10" fillId="9" borderId="7" xfId="0" applyNumberFormat="1" applyFont="1" applyFill="1" applyBorder="1" applyAlignment="1" applyProtection="1">
      <alignment horizontal="right" vertical="center"/>
    </xf>
    <xf numFmtId="171" fontId="10" fillId="0" borderId="7" xfId="0" applyNumberFormat="1" applyFont="1" applyBorder="1" applyAlignment="1" applyProtection="1">
      <alignment vertical="center"/>
    </xf>
    <xf numFmtId="49" fontId="28" fillId="0" borderId="25" xfId="11" applyNumberFormat="1" applyFont="1" applyFill="1" applyBorder="1" applyAlignment="1" applyProtection="1">
      <alignment horizontal="left" vertical="center" wrapText="1"/>
    </xf>
    <xf numFmtId="49" fontId="28" fillId="0" borderId="28" xfId="11" applyNumberFormat="1" applyFont="1" applyFill="1" applyBorder="1" applyAlignment="1" applyProtection="1">
      <alignment horizontal="left" vertical="center"/>
    </xf>
    <xf numFmtId="2" fontId="10" fillId="0" borderId="0" xfId="0" applyNumberFormat="1" applyFont="1" applyAlignment="1" applyProtection="1">
      <alignment horizontal="right" vertical="center"/>
    </xf>
    <xf numFmtId="3" fontId="10" fillId="0" borderId="7" xfId="0" applyNumberFormat="1" applyFont="1" applyBorder="1" applyAlignment="1" applyProtection="1">
      <alignment horizontal="right" vertical="center"/>
    </xf>
    <xf numFmtId="3" fontId="10" fillId="9" borderId="0" xfId="0" applyNumberFormat="1" applyFont="1" applyFill="1" applyAlignment="1" applyProtection="1">
      <alignment horizontal="right" vertical="center"/>
    </xf>
    <xf numFmtId="3" fontId="10" fillId="0" borderId="0" xfId="0" applyNumberFormat="1" applyFont="1" applyAlignment="1" applyProtection="1">
      <alignment vertical="center"/>
    </xf>
    <xf numFmtId="0" fontId="11" fillId="9" borderId="0" xfId="0" applyFont="1" applyFill="1" applyAlignment="1" applyProtection="1">
      <alignment horizontal="left" vertical="center"/>
    </xf>
    <xf numFmtId="3" fontId="10" fillId="0" borderId="0" xfId="0" applyNumberFormat="1" applyFont="1" applyAlignment="1" applyProtection="1">
      <alignment horizontal="right"/>
    </xf>
    <xf numFmtId="1" fontId="10" fillId="0" borderId="0" xfId="0" applyNumberFormat="1" applyFont="1" applyAlignment="1" applyProtection="1">
      <alignment horizontal="right" vertical="center"/>
    </xf>
    <xf numFmtId="1" fontId="10" fillId="9" borderId="7" xfId="0" applyNumberFormat="1" applyFont="1" applyFill="1" applyBorder="1" applyAlignment="1" applyProtection="1">
      <alignment horizontal="right" vertical="center"/>
    </xf>
    <xf numFmtId="4" fontId="10" fillId="0" borderId="0" xfId="0" applyNumberFormat="1" applyFont="1" applyAlignment="1" applyProtection="1">
      <alignment horizontal="right"/>
    </xf>
    <xf numFmtId="176" fontId="10" fillId="0" borderId="0" xfId="0" applyNumberFormat="1" applyFont="1" applyProtection="1"/>
    <xf numFmtId="4" fontId="11" fillId="0" borderId="7" xfId="0" applyNumberFormat="1" applyFont="1" applyBorder="1" applyAlignment="1" applyProtection="1">
      <alignment horizontal="right"/>
    </xf>
    <xf numFmtId="4" fontId="10" fillId="0" borderId="7" xfId="0" applyNumberFormat="1" applyFont="1" applyBorder="1" applyAlignment="1" applyProtection="1">
      <alignment horizontal="right"/>
    </xf>
    <xf numFmtId="3" fontId="10" fillId="0" borderId="7" xfId="0" applyNumberFormat="1" applyFont="1" applyBorder="1" applyAlignment="1" applyProtection="1">
      <alignment horizontal="right"/>
    </xf>
    <xf numFmtId="10" fontId="37" fillId="7" borderId="7" xfId="23" applyNumberFormat="1" applyFill="1" applyBorder="1" applyAlignment="1" applyProtection="1">
      <alignment horizontal="right" vertical="center"/>
      <protection locked="0"/>
    </xf>
    <xf numFmtId="4" fontId="37" fillId="7" borderId="7" xfId="23" applyNumberFormat="1" applyFill="1" applyBorder="1" applyAlignment="1" applyProtection="1">
      <alignment horizontal="right" vertical="center"/>
      <protection locked="0"/>
    </xf>
    <xf numFmtId="0" fontId="10" fillId="0" borderId="0" xfId="0" applyFont="1" applyAlignment="1" applyProtection="1">
      <alignment vertical="center" wrapText="1"/>
    </xf>
    <xf numFmtId="0" fontId="13" fillId="4" borderId="0" xfId="0" applyFont="1" applyFill="1" applyProtection="1"/>
    <xf numFmtId="0" fontId="13" fillId="4" borderId="0" xfId="0" applyFont="1" applyFill="1" applyAlignment="1" applyProtection="1">
      <alignment wrapText="1"/>
    </xf>
    <xf numFmtId="0" fontId="11" fillId="12" borderId="26" xfId="0" applyFont="1" applyFill="1" applyBorder="1" applyProtection="1"/>
    <xf numFmtId="0" fontId="10" fillId="12" borderId="29" xfId="0" applyFont="1" applyFill="1" applyBorder="1" applyProtection="1"/>
    <xf numFmtId="0" fontId="10" fillId="12" borderId="27" xfId="0" applyFont="1" applyFill="1" applyBorder="1" applyAlignment="1" applyProtection="1">
      <alignment wrapText="1"/>
    </xf>
    <xf numFmtId="0" fontId="10" fillId="12" borderId="29" xfId="0" applyFont="1" applyFill="1" applyBorder="1" applyAlignment="1" applyProtection="1">
      <alignment wrapText="1"/>
    </xf>
    <xf numFmtId="0" fontId="10" fillId="0" borderId="0" xfId="0" applyFont="1" applyAlignment="1" applyProtection="1">
      <alignment wrapText="1"/>
    </xf>
    <xf numFmtId="176" fontId="10" fillId="12" borderId="29" xfId="0" applyNumberFormat="1" applyFont="1" applyFill="1" applyBorder="1" applyProtection="1"/>
    <xf numFmtId="167" fontId="10" fillId="0" borderId="0" xfId="0" applyNumberFormat="1" applyFont="1" applyAlignment="1" applyProtection="1">
      <alignment vertical="center"/>
    </xf>
    <xf numFmtId="0" fontId="10" fillId="0" borderId="13" xfId="0" applyFont="1" applyBorder="1" applyAlignment="1" applyProtection="1">
      <alignment vertical="center"/>
    </xf>
    <xf numFmtId="0" fontId="10" fillId="0" borderId="0" xfId="0" applyFont="1" applyAlignment="1" applyProtection="1">
      <alignment horizontal="center" vertical="center"/>
    </xf>
    <xf numFmtId="0" fontId="16" fillId="0" borderId="0" xfId="0" applyFont="1" applyAlignment="1" applyProtection="1">
      <alignment horizontal="right" vertical="center"/>
    </xf>
    <xf numFmtId="0" fontId="16" fillId="0" borderId="0" xfId="0" applyFont="1" applyAlignment="1" applyProtection="1">
      <alignment horizontal="center" vertical="center"/>
    </xf>
    <xf numFmtId="0" fontId="13" fillId="4" borderId="0" xfId="0" applyFont="1" applyFill="1" applyAlignment="1" applyProtection="1">
      <alignment vertical="center"/>
    </xf>
    <xf numFmtId="0" fontId="10" fillId="4" borderId="0" xfId="0" applyFont="1" applyFill="1" applyAlignment="1" applyProtection="1">
      <alignment vertical="center"/>
    </xf>
    <xf numFmtId="0" fontId="10" fillId="4" borderId="0" xfId="0" applyFont="1" applyFill="1" applyAlignment="1" applyProtection="1">
      <alignment horizontal="left" vertical="center"/>
    </xf>
    <xf numFmtId="0" fontId="16" fillId="0" borderId="0" xfId="0" applyFont="1" applyAlignment="1" applyProtection="1">
      <alignment horizontal="left" vertical="center"/>
    </xf>
    <xf numFmtId="0" fontId="11" fillId="0" borderId="0" xfId="0" applyFont="1" applyAlignment="1" applyProtection="1">
      <alignment horizontal="center" vertical="center" wrapText="1"/>
    </xf>
    <xf numFmtId="0" fontId="15" fillId="0" borderId="0" xfId="0" applyFont="1" applyAlignment="1" applyProtection="1">
      <alignment horizontal="left" vertical="center"/>
    </xf>
    <xf numFmtId="0" fontId="15" fillId="9" borderId="41" xfId="0" applyFont="1" applyFill="1" applyBorder="1" applyAlignment="1" applyProtection="1">
      <alignment horizontal="right" vertical="center" wrapText="1"/>
    </xf>
    <xf numFmtId="0" fontId="15" fillId="9" borderId="14" xfId="0" applyFont="1" applyFill="1" applyBorder="1" applyAlignment="1" applyProtection="1">
      <alignment horizontal="center" vertical="center" wrapText="1"/>
    </xf>
    <xf numFmtId="0" fontId="10" fillId="0" borderId="17" xfId="0" applyFont="1" applyBorder="1" applyAlignment="1" applyProtection="1">
      <alignment vertical="center"/>
    </xf>
    <xf numFmtId="0" fontId="10" fillId="0" borderId="15" xfId="0" applyFont="1" applyBorder="1" applyAlignment="1" applyProtection="1">
      <alignment vertical="center"/>
    </xf>
    <xf numFmtId="179" fontId="10" fillId="0" borderId="0" xfId="0" applyNumberFormat="1" applyFont="1" applyAlignment="1" applyProtection="1">
      <alignment vertical="center"/>
    </xf>
    <xf numFmtId="0" fontId="10" fillId="0" borderId="24" xfId="0" applyFont="1" applyBorder="1" applyAlignment="1" applyProtection="1">
      <alignment vertical="center"/>
    </xf>
    <xf numFmtId="0" fontId="10" fillId="0" borderId="0" xfId="0" applyFont="1" applyAlignment="1" applyProtection="1">
      <alignment horizontal="center" vertical="center" wrapText="1"/>
    </xf>
    <xf numFmtId="0" fontId="10" fillId="0" borderId="0" xfId="0" applyFont="1" applyAlignment="1" applyProtection="1">
      <alignment horizontal="center"/>
    </xf>
    <xf numFmtId="0" fontId="12" fillId="0" borderId="0" xfId="0" applyFont="1" applyAlignment="1" applyProtection="1">
      <alignment horizontal="center" vertical="center"/>
    </xf>
    <xf numFmtId="0" fontId="15" fillId="0" borderId="0" xfId="0" applyFont="1" applyAlignment="1" applyProtection="1">
      <alignment horizontal="center" vertical="center"/>
    </xf>
    <xf numFmtId="0" fontId="13" fillId="0" borderId="0" xfId="0" applyFont="1" applyAlignment="1" applyProtection="1">
      <alignment horizontal="center" vertical="center"/>
    </xf>
    <xf numFmtId="175" fontId="10" fillId="0" borderId="31" xfId="8" applyNumberFormat="1" applyFont="1" applyBorder="1" applyAlignment="1" applyProtection="1">
      <alignment horizontal="center" vertical="center"/>
    </xf>
    <xf numFmtId="188" fontId="10" fillId="0" borderId="12" xfId="8" applyNumberFormat="1" applyFont="1" applyBorder="1" applyAlignment="1" applyProtection="1">
      <alignment horizontal="center" vertical="center"/>
    </xf>
    <xf numFmtId="0" fontId="10" fillId="0" borderId="12" xfId="8" applyFont="1" applyBorder="1" applyAlignment="1" applyProtection="1">
      <alignment vertical="center"/>
    </xf>
    <xf numFmtId="1" fontId="10" fillId="0" borderId="10" xfId="8" applyNumberFormat="1" applyFont="1" applyBorder="1" applyAlignment="1" applyProtection="1">
      <alignment horizontal="center" vertical="center"/>
    </xf>
    <xf numFmtId="3" fontId="10" fillId="0" borderId="12" xfId="8" applyNumberFormat="1" applyFont="1" applyBorder="1" applyAlignment="1" applyProtection="1">
      <alignment horizontal="center" vertical="center"/>
    </xf>
    <xf numFmtId="3" fontId="10" fillId="0" borderId="10" xfId="8" applyNumberFormat="1" applyFont="1" applyBorder="1" applyAlignment="1" applyProtection="1">
      <alignment horizontal="center" vertical="center"/>
    </xf>
    <xf numFmtId="2" fontId="10" fillId="0" borderId="10" xfId="8" applyNumberFormat="1" applyFont="1" applyBorder="1" applyAlignment="1" applyProtection="1">
      <alignment horizontal="center" vertical="center"/>
    </xf>
    <xf numFmtId="2" fontId="10" fillId="0" borderId="12" xfId="8" applyNumberFormat="1" applyFont="1" applyBorder="1" applyAlignment="1" applyProtection="1">
      <alignment horizontal="center" vertical="center"/>
    </xf>
    <xf numFmtId="175" fontId="10" fillId="0" borderId="0" xfId="0" applyNumberFormat="1" applyFont="1" applyAlignment="1" applyProtection="1">
      <alignment horizontal="center" vertical="center"/>
    </xf>
    <xf numFmtId="175" fontId="10" fillId="0" borderId="10" xfId="8" applyNumberFormat="1" applyFont="1" applyBorder="1" applyAlignment="1" applyProtection="1">
      <alignment horizontal="center" vertical="center"/>
    </xf>
    <xf numFmtId="175" fontId="10" fillId="0" borderId="12" xfId="8" applyNumberFormat="1" applyFont="1" applyBorder="1" applyAlignment="1" applyProtection="1">
      <alignment horizontal="center" vertical="center"/>
    </xf>
    <xf numFmtId="0" fontId="10" fillId="0" borderId="10" xfId="8" applyFont="1" applyBorder="1" applyAlignment="1" applyProtection="1">
      <alignment vertical="center"/>
    </xf>
    <xf numFmtId="1" fontId="10" fillId="0" borderId="12" xfId="8" applyNumberFormat="1" applyFont="1" applyBorder="1" applyAlignment="1" applyProtection="1">
      <alignment horizontal="center" vertical="center"/>
    </xf>
    <xf numFmtId="0" fontId="10" fillId="0" borderId="10" xfId="8" applyFont="1" applyBorder="1" applyAlignment="1" applyProtection="1">
      <alignment horizontal="center" vertical="center"/>
    </xf>
    <xf numFmtId="0" fontId="10" fillId="0" borderId="10" xfId="8" applyFont="1" applyBorder="1" applyAlignment="1" applyProtection="1">
      <alignment horizontal="left" vertical="center"/>
    </xf>
    <xf numFmtId="169" fontId="10" fillId="0" borderId="10" xfId="8" applyNumberFormat="1" applyFont="1" applyBorder="1" applyAlignment="1" applyProtection="1">
      <alignment horizontal="center" vertical="center"/>
    </xf>
    <xf numFmtId="0" fontId="11" fillId="0" borderId="0" xfId="0" applyFont="1" applyAlignment="1" applyProtection="1">
      <alignment horizontal="center" wrapText="1"/>
    </xf>
    <xf numFmtId="175" fontId="10" fillId="0" borderId="7" xfId="0" applyNumberFormat="1" applyFont="1" applyBorder="1" applyAlignment="1" applyProtection="1">
      <alignment horizontal="center"/>
    </xf>
    <xf numFmtId="0" fontId="10" fillId="0" borderId="7" xfId="0" applyFont="1" applyBorder="1" applyAlignment="1" applyProtection="1">
      <alignment horizontal="center"/>
    </xf>
    <xf numFmtId="2" fontId="10" fillId="0" borderId="7" xfId="0" applyNumberFormat="1" applyFont="1" applyBorder="1" applyAlignment="1" applyProtection="1">
      <alignment horizontal="center"/>
    </xf>
    <xf numFmtId="0" fontId="11" fillId="0" borderId="7" xfId="0" applyFont="1" applyBorder="1" applyProtection="1"/>
    <xf numFmtId="1" fontId="10" fillId="0" borderId="7" xfId="0" applyNumberFormat="1" applyFont="1" applyBorder="1" applyAlignment="1" applyProtection="1">
      <alignment horizontal="center"/>
    </xf>
    <xf numFmtId="0" fontId="11" fillId="0" borderId="0" xfId="0" applyFont="1" applyAlignment="1" applyProtection="1">
      <alignment horizontal="left" vertical="center"/>
    </xf>
    <xf numFmtId="2" fontId="5" fillId="5" borderId="3" xfId="3" applyNumberFormat="1" applyAlignment="1" applyProtection="1">
      <alignment horizontal="center" vertical="center"/>
    </xf>
    <xf numFmtId="0" fontId="16" fillId="0" borderId="0" xfId="0" applyFont="1" applyProtection="1"/>
    <xf numFmtId="175" fontId="16" fillId="0" borderId="7" xfId="0" applyNumberFormat="1" applyFont="1" applyBorder="1" applyAlignment="1" applyProtection="1">
      <alignment horizontal="center"/>
    </xf>
    <xf numFmtId="2" fontId="16" fillId="0" borderId="7" xfId="0" applyNumberFormat="1" applyFont="1" applyBorder="1" applyAlignment="1" applyProtection="1">
      <alignment horizontal="center"/>
    </xf>
    <xf numFmtId="0" fontId="10" fillId="0" borderId="7" xfId="0" applyFont="1" applyBorder="1" applyAlignment="1" applyProtection="1">
      <alignment horizontal="center" wrapText="1"/>
    </xf>
    <xf numFmtId="0" fontId="16" fillId="0" borderId="7"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28" fillId="0" borderId="0" xfId="0" applyFont="1" applyProtection="1"/>
    <xf numFmtId="0" fontId="10" fillId="0" borderId="7" xfId="8" applyFont="1" applyProtection="1"/>
    <xf numFmtId="0" fontId="16" fillId="0" borderId="0" xfId="0" applyFont="1" applyAlignment="1" applyProtection="1">
      <alignment horizontal="center" vertical="center" wrapText="1"/>
    </xf>
    <xf numFmtId="0" fontId="15" fillId="0" borderId="0" xfId="0" applyFont="1" applyProtection="1"/>
    <xf numFmtId="0" fontId="16" fillId="0" borderId="0" xfId="0" applyFont="1" applyAlignment="1" applyProtection="1">
      <alignment horizontal="left" vertical="center" wrapText="1"/>
    </xf>
    <xf numFmtId="0" fontId="10" fillId="0" borderId="7" xfId="0" applyFont="1" applyBorder="1" applyProtection="1"/>
    <xf numFmtId="2" fontId="10" fillId="0" borderId="7" xfId="8" applyNumberFormat="1" applyFont="1" applyProtection="1"/>
    <xf numFmtId="0" fontId="16" fillId="0" borderId="0" xfId="0" applyFont="1" applyAlignment="1" applyProtection="1">
      <alignment horizontal="center"/>
    </xf>
  </cellXfs>
  <cellStyles count="24">
    <cellStyle name="90 degree title" xfId="10" xr:uid="{B0ABF634-7BE9-4E16-9E58-2469B2521CBC}"/>
    <cellStyle name="Accent1" xfId="9" builtinId="29" customBuiltin="1"/>
    <cellStyle name="Activity table header, bold, border, centered" xfId="14" xr:uid="{5C332228-3229-4CF8-9C68-5A968365F9A4}"/>
    <cellStyle name="Bad" xfId="20" builtinId="27"/>
    <cellStyle name="Calculation" xfId="4" builtinId="22"/>
    <cellStyle name="Check Cell" xfId="6" builtinId="23"/>
    <cellStyle name="Comma" xfId="11" builtinId="3"/>
    <cellStyle name="Currency" xfId="12" builtinId="4"/>
    <cellStyle name="Good" xfId="23" builtinId="26"/>
    <cellStyle name="Heading 4" xfId="21" builtinId="19"/>
    <cellStyle name="Hyperlink" xfId="16" builtinId="8"/>
    <cellStyle name="Input" xfId="3" builtinId="20"/>
    <cellStyle name="Linked Cell" xfId="5" builtinId="24"/>
    <cellStyle name="Normal" xfId="0" builtinId="0"/>
    <cellStyle name="Normal 2" xfId="17" xr:uid="{0D919A95-BF41-4EFE-9A15-97BDA47D6A39}"/>
    <cellStyle name="Normal 2 5" xfId="18" xr:uid="{3E86302B-4D63-4977-BD18-F94E8613FDC3}"/>
    <cellStyle name="Normal border" xfId="8" xr:uid="{93FA1B6B-89F6-4F52-B4F6-478AA00D84E7}"/>
    <cellStyle name="NormalBorderedCentered 2" xfId="22" xr:uid="{C4C55C0F-51BD-4B97-B0AF-0BCBC45117CD}"/>
    <cellStyle name="Note" xfId="2" builtinId="10"/>
    <cellStyle name="Output" xfId="1" builtinId="21"/>
    <cellStyle name="Percent" xfId="13" builtinId="5"/>
    <cellStyle name="Percent 3" xfId="19" xr:uid="{2AD4409F-5B59-4396-ABD0-99C9C50D74AB}"/>
    <cellStyle name="Total" xfId="7" builtinId="25"/>
    <cellStyle name="Totals item" xfId="15" xr:uid="{3B0EEBA5-919D-4450-9913-B5476FE3A0CC}"/>
  </cellStyles>
  <dxfs count="1">
    <dxf>
      <font>
        <color rgb="FF9C0006"/>
      </font>
      <fill>
        <patternFill>
          <bgColor rgb="FFFFC7CE"/>
        </patternFill>
      </fill>
    </dxf>
  </dxfs>
  <tableStyles count="0" defaultTableStyle="TableStyleMedium2" defaultPivotStyle="PivotStyleLight16"/>
  <colors>
    <mruColors>
      <color rgb="FFBA8CDC"/>
      <color rgb="FFD9E1F2"/>
      <color rgb="FF6F2B8D"/>
      <color rgb="FF009A91"/>
      <color rgb="FFFAA719"/>
      <color rgb="FFF2F2F2"/>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4.pn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0.png"/><Relationship Id="rId4" Type="http://schemas.openxmlformats.org/officeDocument/2006/relationships/image" Target="../media/image5.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885277</xdr:colOff>
      <xdr:row>1</xdr:row>
      <xdr:rowOff>684629</xdr:rowOff>
    </xdr:to>
    <xdr:pic>
      <xdr:nvPicPr>
        <xdr:cNvPr id="2" name="Picture 1" descr="Government of South Australia logo - Home">
          <a:extLst>
            <a:ext uri="{FF2B5EF4-FFF2-40B4-BE49-F238E27FC236}">
              <a16:creationId xmlns:a16="http://schemas.microsoft.com/office/drawing/2014/main" id="{5079A335-8946-466B-8171-067950690E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61925"/>
          <a:ext cx="2548977" cy="684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22411</xdr:colOff>
      <xdr:row>56</xdr:row>
      <xdr:rowOff>179295</xdr:rowOff>
    </xdr:from>
    <xdr:to>
      <xdr:col>9</xdr:col>
      <xdr:colOff>119941</xdr:colOff>
      <xdr:row>56</xdr:row>
      <xdr:rowOff>874058</xdr:rowOff>
    </xdr:to>
    <xdr:pic>
      <xdr:nvPicPr>
        <xdr:cNvPr id="13" name="Picture 12">
          <a:extLst>
            <a:ext uri="{FF2B5EF4-FFF2-40B4-BE49-F238E27FC236}">
              <a16:creationId xmlns:a16="http://schemas.microsoft.com/office/drawing/2014/main" id="{51942C53-F00C-1388-9A4A-8895408AE676}"/>
            </a:ext>
          </a:extLst>
        </xdr:cNvPr>
        <xdr:cNvPicPr>
          <a:picLocks noChangeAspect="1"/>
        </xdr:cNvPicPr>
      </xdr:nvPicPr>
      <xdr:blipFill rotWithShape="1">
        <a:blip xmlns:r="http://schemas.openxmlformats.org/officeDocument/2006/relationships" r:embed="rId1"/>
        <a:srcRect b="42865"/>
        <a:stretch>
          <a:fillRect/>
        </a:stretch>
      </xdr:blipFill>
      <xdr:spPr>
        <a:xfrm>
          <a:off x="2263587" y="13088471"/>
          <a:ext cx="3011060" cy="694763"/>
        </a:xfrm>
        <a:prstGeom prst="rect">
          <a:avLst/>
        </a:prstGeom>
      </xdr:spPr>
    </xdr:pic>
    <xdr:clientData/>
  </xdr:twoCellAnchor>
  <xdr:twoCellAnchor editAs="oneCell">
    <xdr:from>
      <xdr:col>0</xdr:col>
      <xdr:colOff>233831</xdr:colOff>
      <xdr:row>185</xdr:row>
      <xdr:rowOff>33615</xdr:rowOff>
    </xdr:from>
    <xdr:to>
      <xdr:col>13</xdr:col>
      <xdr:colOff>78442</xdr:colOff>
      <xdr:row>199</xdr:row>
      <xdr:rowOff>104528</xdr:rowOff>
    </xdr:to>
    <xdr:pic>
      <xdr:nvPicPr>
        <xdr:cNvPr id="30" name="Picture 29">
          <a:extLst>
            <a:ext uri="{FF2B5EF4-FFF2-40B4-BE49-F238E27FC236}">
              <a16:creationId xmlns:a16="http://schemas.microsoft.com/office/drawing/2014/main" id="{2FD2E683-EBA9-F64B-FCBD-258DD6BD3D1F}"/>
            </a:ext>
          </a:extLst>
        </xdr:cNvPr>
        <xdr:cNvPicPr>
          <a:picLocks noChangeAspect="1"/>
        </xdr:cNvPicPr>
      </xdr:nvPicPr>
      <xdr:blipFill rotWithShape="1">
        <a:blip xmlns:r="http://schemas.openxmlformats.org/officeDocument/2006/relationships" r:embed="rId2"/>
        <a:srcRect l="1" r="53506"/>
        <a:stretch>
          <a:fillRect/>
        </a:stretch>
      </xdr:blipFill>
      <xdr:spPr>
        <a:xfrm>
          <a:off x="233831" y="34424468"/>
          <a:ext cx="7330140" cy="2267266"/>
        </a:xfrm>
        <a:prstGeom prst="rect">
          <a:avLst/>
        </a:prstGeom>
      </xdr:spPr>
    </xdr:pic>
    <xdr:clientData/>
  </xdr:twoCellAnchor>
  <xdr:twoCellAnchor editAs="oneCell">
    <xdr:from>
      <xdr:col>0</xdr:col>
      <xdr:colOff>291352</xdr:colOff>
      <xdr:row>84</xdr:row>
      <xdr:rowOff>154147</xdr:rowOff>
    </xdr:from>
    <xdr:to>
      <xdr:col>26</xdr:col>
      <xdr:colOff>481853</xdr:colOff>
      <xdr:row>117</xdr:row>
      <xdr:rowOff>99709</xdr:rowOff>
    </xdr:to>
    <xdr:pic>
      <xdr:nvPicPr>
        <xdr:cNvPr id="20" name="Picture 19">
          <a:extLst>
            <a:ext uri="{FF2B5EF4-FFF2-40B4-BE49-F238E27FC236}">
              <a16:creationId xmlns:a16="http://schemas.microsoft.com/office/drawing/2014/main" id="{4A43165E-F7D5-9016-4634-ACC607B6ACE7}"/>
            </a:ext>
          </a:extLst>
        </xdr:cNvPr>
        <xdr:cNvPicPr>
          <a:picLocks noChangeAspect="1"/>
        </xdr:cNvPicPr>
      </xdr:nvPicPr>
      <xdr:blipFill>
        <a:blip xmlns:r="http://schemas.openxmlformats.org/officeDocument/2006/relationships" r:embed="rId3"/>
        <a:stretch>
          <a:fillRect/>
        </a:stretch>
      </xdr:blipFill>
      <xdr:spPr>
        <a:xfrm>
          <a:off x="291352" y="18632647"/>
          <a:ext cx="15251207" cy="5122680"/>
        </a:xfrm>
        <a:prstGeom prst="rect">
          <a:avLst/>
        </a:prstGeom>
      </xdr:spPr>
    </xdr:pic>
    <xdr:clientData/>
  </xdr:twoCellAnchor>
  <xdr:twoCellAnchor editAs="oneCell">
    <xdr:from>
      <xdr:col>3</xdr:col>
      <xdr:colOff>493060</xdr:colOff>
      <xdr:row>44</xdr:row>
      <xdr:rowOff>112059</xdr:rowOff>
    </xdr:from>
    <xdr:to>
      <xdr:col>12</xdr:col>
      <xdr:colOff>347383</xdr:colOff>
      <xdr:row>47</xdr:row>
      <xdr:rowOff>973981</xdr:rowOff>
    </xdr:to>
    <xdr:pic>
      <xdr:nvPicPr>
        <xdr:cNvPr id="3" name="Picture 2">
          <a:extLst>
            <a:ext uri="{FF2B5EF4-FFF2-40B4-BE49-F238E27FC236}">
              <a16:creationId xmlns:a16="http://schemas.microsoft.com/office/drawing/2014/main" id="{9A90379F-E220-0796-C3AA-D9CD1C72703C}"/>
            </a:ext>
          </a:extLst>
        </xdr:cNvPr>
        <xdr:cNvPicPr>
          <a:picLocks noChangeAspect="1"/>
        </xdr:cNvPicPr>
      </xdr:nvPicPr>
      <xdr:blipFill rotWithShape="1">
        <a:blip xmlns:r="http://schemas.openxmlformats.org/officeDocument/2006/relationships" r:embed="rId4"/>
        <a:srcRect b="4775"/>
        <a:stretch>
          <a:fillRect/>
        </a:stretch>
      </xdr:blipFill>
      <xdr:spPr>
        <a:xfrm>
          <a:off x="2151531" y="7440706"/>
          <a:ext cx="5098676" cy="1467039"/>
        </a:xfrm>
        <a:prstGeom prst="rect">
          <a:avLst/>
        </a:prstGeom>
      </xdr:spPr>
    </xdr:pic>
    <xdr:clientData/>
  </xdr:twoCellAnchor>
  <xdr:twoCellAnchor editAs="oneCell">
    <xdr:from>
      <xdr:col>3</xdr:col>
      <xdr:colOff>537881</xdr:colOff>
      <xdr:row>52</xdr:row>
      <xdr:rowOff>151901</xdr:rowOff>
    </xdr:from>
    <xdr:to>
      <xdr:col>19</xdr:col>
      <xdr:colOff>206684</xdr:colOff>
      <xdr:row>52</xdr:row>
      <xdr:rowOff>1513416</xdr:rowOff>
    </xdr:to>
    <xdr:pic>
      <xdr:nvPicPr>
        <xdr:cNvPr id="34" name="Picture 33">
          <a:extLst>
            <a:ext uri="{FF2B5EF4-FFF2-40B4-BE49-F238E27FC236}">
              <a16:creationId xmlns:a16="http://schemas.microsoft.com/office/drawing/2014/main" id="{818A20F7-57F9-A560-0B37-ED2A74E0A2C8}"/>
            </a:ext>
          </a:extLst>
        </xdr:cNvPr>
        <xdr:cNvPicPr>
          <a:picLocks noChangeAspect="1"/>
        </xdr:cNvPicPr>
      </xdr:nvPicPr>
      <xdr:blipFill>
        <a:blip xmlns:r="http://schemas.openxmlformats.org/officeDocument/2006/relationships" r:embed="rId5"/>
        <a:stretch>
          <a:fillRect/>
        </a:stretch>
      </xdr:blipFill>
      <xdr:spPr>
        <a:xfrm>
          <a:off x="2199464" y="11200901"/>
          <a:ext cx="8982137" cy="1361515"/>
        </a:xfrm>
        <a:prstGeom prst="rect">
          <a:avLst/>
        </a:prstGeom>
      </xdr:spPr>
    </xdr:pic>
    <xdr:clientData/>
  </xdr:twoCellAnchor>
  <xdr:twoCellAnchor>
    <xdr:from>
      <xdr:col>8</xdr:col>
      <xdr:colOff>159310</xdr:colOff>
      <xdr:row>117</xdr:row>
      <xdr:rowOff>101412</xdr:rowOff>
    </xdr:from>
    <xdr:to>
      <xdr:col>10</xdr:col>
      <xdr:colOff>304800</xdr:colOff>
      <xdr:row>123</xdr:row>
      <xdr:rowOff>76200</xdr:rowOff>
    </xdr:to>
    <xdr:sp macro="" textlink="">
      <xdr:nvSpPr>
        <xdr:cNvPr id="7" name="Callout: Line 6">
          <a:extLst>
            <a:ext uri="{FF2B5EF4-FFF2-40B4-BE49-F238E27FC236}">
              <a16:creationId xmlns:a16="http://schemas.microsoft.com/office/drawing/2014/main" id="{A57F0F3C-1434-27FA-1C16-9FF52499678A}"/>
            </a:ext>
          </a:extLst>
        </xdr:cNvPr>
        <xdr:cNvSpPr/>
      </xdr:nvSpPr>
      <xdr:spPr>
        <a:xfrm>
          <a:off x="4940860" y="24040912"/>
          <a:ext cx="1364690" cy="927288"/>
        </a:xfrm>
        <a:prstGeom prst="borderCallout1">
          <a:avLst>
            <a:gd name="adj1" fmla="val -12829"/>
            <a:gd name="adj2" fmla="val 49562"/>
            <a:gd name="adj3" fmla="val -110317"/>
            <a:gd name="adj4" fmla="val 69562"/>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Dropdown selections for Users to set</a:t>
          </a:r>
        </a:p>
      </xdr:txBody>
    </xdr:sp>
    <xdr:clientData/>
  </xdr:twoCellAnchor>
  <xdr:twoCellAnchor>
    <xdr:from>
      <xdr:col>12</xdr:col>
      <xdr:colOff>189005</xdr:colOff>
      <xdr:row>117</xdr:row>
      <xdr:rowOff>102346</xdr:rowOff>
    </xdr:from>
    <xdr:to>
      <xdr:col>14</xdr:col>
      <xdr:colOff>517897</xdr:colOff>
      <xdr:row>123</xdr:row>
      <xdr:rowOff>133349</xdr:rowOff>
    </xdr:to>
    <xdr:sp macro="" textlink="">
      <xdr:nvSpPr>
        <xdr:cNvPr id="10" name="Callout: Line 9">
          <a:extLst>
            <a:ext uri="{FF2B5EF4-FFF2-40B4-BE49-F238E27FC236}">
              <a16:creationId xmlns:a16="http://schemas.microsoft.com/office/drawing/2014/main" id="{40443E32-BEBF-4880-AA7F-253BCE90558E}"/>
            </a:ext>
          </a:extLst>
        </xdr:cNvPr>
        <xdr:cNvSpPr/>
      </xdr:nvSpPr>
      <xdr:spPr>
        <a:xfrm>
          <a:off x="7408955" y="24041846"/>
          <a:ext cx="1548092" cy="983503"/>
        </a:xfrm>
        <a:prstGeom prst="borderCallout1">
          <a:avLst>
            <a:gd name="adj1" fmla="val -8550"/>
            <a:gd name="adj2" fmla="val 85162"/>
            <a:gd name="adj3" fmla="val -96915"/>
            <a:gd name="adj4" fmla="val 128676"/>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Default (orange) and</a:t>
          </a:r>
          <a:r>
            <a:rPr lang="en-AU" sz="1000" baseline="0">
              <a:solidFill>
                <a:schemeClr val="bg1"/>
              </a:solidFill>
              <a:latin typeface="Poppins regular"/>
            </a:rPr>
            <a:t> User (green) rates - User rates override default rates</a:t>
          </a:r>
          <a:endParaRPr lang="en-AU" sz="1000">
            <a:solidFill>
              <a:schemeClr val="bg1"/>
            </a:solidFill>
            <a:latin typeface="Poppins regular"/>
          </a:endParaRPr>
        </a:p>
      </xdr:txBody>
    </xdr:sp>
    <xdr:clientData/>
  </xdr:twoCellAnchor>
  <xdr:twoCellAnchor>
    <xdr:from>
      <xdr:col>27</xdr:col>
      <xdr:colOff>86844</xdr:colOff>
      <xdr:row>108</xdr:row>
      <xdr:rowOff>74891</xdr:rowOff>
    </xdr:from>
    <xdr:to>
      <xdr:col>29</xdr:col>
      <xdr:colOff>571499</xdr:colOff>
      <xdr:row>118</xdr:row>
      <xdr:rowOff>101600</xdr:rowOff>
    </xdr:to>
    <xdr:sp macro="" textlink="">
      <xdr:nvSpPr>
        <xdr:cNvPr id="11" name="Callout: Line 10">
          <a:extLst>
            <a:ext uri="{FF2B5EF4-FFF2-40B4-BE49-F238E27FC236}">
              <a16:creationId xmlns:a16="http://schemas.microsoft.com/office/drawing/2014/main" id="{59945BF9-E14F-4221-A69E-F7909E659EC5}"/>
            </a:ext>
          </a:extLst>
        </xdr:cNvPr>
        <xdr:cNvSpPr/>
      </xdr:nvSpPr>
      <xdr:spPr>
        <a:xfrm>
          <a:off x="16450794" y="22585641"/>
          <a:ext cx="1703855" cy="1614209"/>
        </a:xfrm>
        <a:prstGeom prst="borderCallout1">
          <a:avLst>
            <a:gd name="adj1" fmla="val 50791"/>
            <a:gd name="adj2" fmla="val -3706"/>
            <a:gd name="adj3" fmla="val 32681"/>
            <a:gd name="adj4" fmla="val -98768"/>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Space</a:t>
          </a:r>
          <a:r>
            <a:rPr lang="en-AU" sz="1000" baseline="0">
              <a:solidFill>
                <a:schemeClr val="bg1"/>
              </a:solidFill>
              <a:latin typeface="Poppins regular"/>
            </a:rPr>
            <a:t> for Users to enter explanatory notes to aid understanding / state assumptions / explain any changes from last estimate </a:t>
          </a:r>
          <a:endParaRPr lang="en-AU" sz="1000">
            <a:solidFill>
              <a:schemeClr val="bg1"/>
            </a:solidFill>
            <a:latin typeface="Poppins regular"/>
          </a:endParaRPr>
        </a:p>
      </xdr:txBody>
    </xdr:sp>
    <xdr:clientData/>
  </xdr:twoCellAnchor>
  <xdr:twoCellAnchor>
    <xdr:from>
      <xdr:col>22</xdr:col>
      <xdr:colOff>308349</xdr:colOff>
      <xdr:row>78</xdr:row>
      <xdr:rowOff>76200</xdr:rowOff>
    </xdr:from>
    <xdr:to>
      <xdr:col>26</xdr:col>
      <xdr:colOff>361950</xdr:colOff>
      <xdr:row>87</xdr:row>
      <xdr:rowOff>69851</xdr:rowOff>
    </xdr:to>
    <xdr:sp macro="" textlink="">
      <xdr:nvSpPr>
        <xdr:cNvPr id="12" name="Callout: Line 11">
          <a:extLst>
            <a:ext uri="{FF2B5EF4-FFF2-40B4-BE49-F238E27FC236}">
              <a16:creationId xmlns:a16="http://schemas.microsoft.com/office/drawing/2014/main" id="{1A5017F4-1515-4B05-A6F0-9CEFDF0F7067}"/>
            </a:ext>
          </a:extLst>
        </xdr:cNvPr>
        <xdr:cNvSpPr/>
      </xdr:nvSpPr>
      <xdr:spPr>
        <a:xfrm>
          <a:off x="13624299" y="17786350"/>
          <a:ext cx="2492001" cy="1460501"/>
        </a:xfrm>
        <a:prstGeom prst="borderCallout1">
          <a:avLst>
            <a:gd name="adj1" fmla="val 49037"/>
            <a:gd name="adj2" fmla="val -1791"/>
            <a:gd name="adj3" fmla="val 71572"/>
            <a:gd name="adj4" fmla="val -15204"/>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Total cost of all</a:t>
          </a:r>
          <a:r>
            <a:rPr lang="en-AU" sz="1000" baseline="0">
              <a:solidFill>
                <a:schemeClr val="bg1"/>
              </a:solidFill>
              <a:latin typeface="Poppins regular"/>
            </a:rPr>
            <a:t> elements in the input sheet showing total before recycling, recycling, and total with recycling included</a:t>
          </a:r>
          <a:endParaRPr lang="en-AU" sz="1000">
            <a:solidFill>
              <a:schemeClr val="bg1"/>
            </a:solidFill>
            <a:latin typeface="Poppins regular"/>
          </a:endParaRPr>
        </a:p>
      </xdr:txBody>
    </xdr:sp>
    <xdr:clientData/>
  </xdr:twoCellAnchor>
  <xdr:twoCellAnchor>
    <xdr:from>
      <xdr:col>2</xdr:col>
      <xdr:colOff>573742</xdr:colOff>
      <xdr:row>117</xdr:row>
      <xdr:rowOff>78440</xdr:rowOff>
    </xdr:from>
    <xdr:to>
      <xdr:col>5</xdr:col>
      <xdr:colOff>192741</xdr:colOff>
      <xdr:row>123</xdr:row>
      <xdr:rowOff>38099</xdr:rowOff>
    </xdr:to>
    <xdr:sp macro="" textlink="">
      <xdr:nvSpPr>
        <xdr:cNvPr id="15" name="Callout: Line 14">
          <a:extLst>
            <a:ext uri="{FF2B5EF4-FFF2-40B4-BE49-F238E27FC236}">
              <a16:creationId xmlns:a16="http://schemas.microsoft.com/office/drawing/2014/main" id="{9C84AC8D-3847-4107-AAB5-54FF314EB40D}"/>
            </a:ext>
          </a:extLst>
        </xdr:cNvPr>
        <xdr:cNvSpPr/>
      </xdr:nvSpPr>
      <xdr:spPr>
        <a:xfrm>
          <a:off x="1519892" y="24017940"/>
          <a:ext cx="1625599" cy="912159"/>
        </a:xfrm>
        <a:prstGeom prst="borderCallout1">
          <a:avLst>
            <a:gd name="adj1" fmla="val 17058"/>
            <a:gd name="adj2" fmla="val 103510"/>
            <a:gd name="adj3" fmla="val -23060"/>
            <a:gd name="adj4" fmla="val 139689"/>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Quantity totals</a:t>
          </a:r>
          <a:r>
            <a:rPr lang="en-AU" sz="1000" baseline="0">
              <a:solidFill>
                <a:schemeClr val="bg1"/>
              </a:solidFill>
              <a:latin typeface="Poppins regular"/>
            </a:rPr>
            <a:t> for each element</a:t>
          </a:r>
          <a:endParaRPr lang="en-AU" sz="1000">
            <a:solidFill>
              <a:schemeClr val="bg1"/>
            </a:solidFill>
            <a:latin typeface="Poppins regular"/>
          </a:endParaRPr>
        </a:p>
      </xdr:txBody>
    </xdr:sp>
    <xdr:clientData/>
  </xdr:twoCellAnchor>
  <xdr:twoCellAnchor>
    <xdr:from>
      <xdr:col>17</xdr:col>
      <xdr:colOff>456079</xdr:colOff>
      <xdr:row>118</xdr:row>
      <xdr:rowOff>68357</xdr:rowOff>
    </xdr:from>
    <xdr:to>
      <xdr:col>19</xdr:col>
      <xdr:colOff>398929</xdr:colOff>
      <xdr:row>123</xdr:row>
      <xdr:rowOff>76200</xdr:rowOff>
    </xdr:to>
    <xdr:sp macro="" textlink="">
      <xdr:nvSpPr>
        <xdr:cNvPr id="16" name="Callout: Line 15">
          <a:extLst>
            <a:ext uri="{FF2B5EF4-FFF2-40B4-BE49-F238E27FC236}">
              <a16:creationId xmlns:a16="http://schemas.microsoft.com/office/drawing/2014/main" id="{D358742F-C526-46BC-8A65-2918C27D8C9A}"/>
            </a:ext>
          </a:extLst>
        </xdr:cNvPr>
        <xdr:cNvSpPr/>
      </xdr:nvSpPr>
      <xdr:spPr>
        <a:xfrm>
          <a:off x="10724029" y="24166607"/>
          <a:ext cx="1162050" cy="801593"/>
        </a:xfrm>
        <a:prstGeom prst="borderCallout1">
          <a:avLst>
            <a:gd name="adj1" fmla="val -4848"/>
            <a:gd name="adj2" fmla="val 39804"/>
            <a:gd name="adj3" fmla="val -60848"/>
            <a:gd name="adj4" fmla="val 30176"/>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Cost </a:t>
          </a:r>
          <a:r>
            <a:rPr lang="en-AU" sz="1000" baseline="0">
              <a:solidFill>
                <a:schemeClr val="bg1"/>
              </a:solidFill>
              <a:latin typeface="Poppins regular"/>
            </a:rPr>
            <a:t>per unit</a:t>
          </a:r>
          <a:endParaRPr lang="en-AU" sz="1000">
            <a:solidFill>
              <a:schemeClr val="bg1"/>
            </a:solidFill>
            <a:latin typeface="Poppins regular"/>
          </a:endParaRPr>
        </a:p>
      </xdr:txBody>
    </xdr:sp>
    <xdr:clientData/>
  </xdr:twoCellAnchor>
  <xdr:twoCellAnchor>
    <xdr:from>
      <xdr:col>16</xdr:col>
      <xdr:colOff>342900</xdr:colOff>
      <xdr:row>109</xdr:row>
      <xdr:rowOff>95250</xdr:rowOff>
    </xdr:from>
    <xdr:to>
      <xdr:col>17</xdr:col>
      <xdr:colOff>158750</xdr:colOff>
      <xdr:row>109</xdr:row>
      <xdr:rowOff>95250</xdr:rowOff>
    </xdr:to>
    <xdr:cxnSp macro="">
      <xdr:nvCxnSpPr>
        <xdr:cNvPr id="19" name="Straight Connector 18">
          <a:extLst>
            <a:ext uri="{FF2B5EF4-FFF2-40B4-BE49-F238E27FC236}">
              <a16:creationId xmlns:a16="http://schemas.microsoft.com/office/drawing/2014/main" id="{56A6D0D6-8E58-6A3D-B43C-63F3554F2422}"/>
            </a:ext>
          </a:extLst>
        </xdr:cNvPr>
        <xdr:cNvCxnSpPr/>
      </xdr:nvCxnSpPr>
      <xdr:spPr>
        <a:xfrm>
          <a:off x="9820275" y="23602950"/>
          <a:ext cx="425450" cy="0"/>
        </a:xfrm>
        <a:prstGeom prst="line">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cxnSp>
    <xdr:clientData/>
  </xdr:twoCellAnchor>
  <xdr:twoCellAnchor>
    <xdr:from>
      <xdr:col>16</xdr:col>
      <xdr:colOff>523874</xdr:colOff>
      <xdr:row>13</xdr:row>
      <xdr:rowOff>142874</xdr:rowOff>
    </xdr:from>
    <xdr:to>
      <xdr:col>22</xdr:col>
      <xdr:colOff>31749</xdr:colOff>
      <xdr:row>29</xdr:row>
      <xdr:rowOff>76200</xdr:rowOff>
    </xdr:to>
    <xdr:sp macro="" textlink="">
      <xdr:nvSpPr>
        <xdr:cNvPr id="4" name="Callout: Line 3">
          <a:extLst>
            <a:ext uri="{FF2B5EF4-FFF2-40B4-BE49-F238E27FC236}">
              <a16:creationId xmlns:a16="http://schemas.microsoft.com/office/drawing/2014/main" id="{282FDFFA-4EF8-4FD2-BD59-B7D67007CE14}"/>
            </a:ext>
          </a:extLst>
        </xdr:cNvPr>
        <xdr:cNvSpPr/>
      </xdr:nvSpPr>
      <xdr:spPr>
        <a:xfrm>
          <a:off x="10182224" y="2371724"/>
          <a:ext cx="3165475" cy="2473326"/>
        </a:xfrm>
        <a:prstGeom prst="borderCallout1">
          <a:avLst>
            <a:gd name="adj1" fmla="val 56503"/>
            <a:gd name="adj2" fmla="val -3070"/>
            <a:gd name="adj3" fmla="val 59826"/>
            <a:gd name="adj4" fmla="val -109385"/>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This graphic</a:t>
          </a:r>
          <a:r>
            <a:rPr lang="en-AU" sz="1000" baseline="0">
              <a:solidFill>
                <a:schemeClr val="bg1"/>
              </a:solidFill>
              <a:latin typeface="Poppins regular"/>
            </a:rPr>
            <a:t> shows the general architecture of the calculator. The calculation method is a "bottom-up first principles" approach whereby easy to understand basic quantities (such as hourly rate for a crane) are combined with productivity and other assumptions to build activity rates (e.g. remove a solar panel). The activity rates are combined with user input quantities to estimate the cost for an activity and the activity costs are summed for each project.</a:t>
          </a:r>
          <a:endParaRPr lang="en-AU" sz="1000">
            <a:solidFill>
              <a:schemeClr val="bg1"/>
            </a:solidFill>
            <a:latin typeface="Poppins regular"/>
          </a:endParaRPr>
        </a:p>
      </xdr:txBody>
    </xdr:sp>
    <xdr:clientData/>
  </xdr:twoCellAnchor>
  <xdr:twoCellAnchor editAs="oneCell">
    <xdr:from>
      <xdr:col>1</xdr:col>
      <xdr:colOff>9525</xdr:colOff>
      <xdr:row>13</xdr:row>
      <xdr:rowOff>149619</xdr:rowOff>
    </xdr:from>
    <xdr:to>
      <xdr:col>13</xdr:col>
      <xdr:colOff>77931</xdr:colOff>
      <xdr:row>33</xdr:row>
      <xdr:rowOff>76925</xdr:rowOff>
    </xdr:to>
    <xdr:pic>
      <xdr:nvPicPr>
        <xdr:cNvPr id="5" name="Picture 4">
          <a:extLst>
            <a:ext uri="{FF2B5EF4-FFF2-40B4-BE49-F238E27FC236}">
              <a16:creationId xmlns:a16="http://schemas.microsoft.com/office/drawing/2014/main" id="{F805831B-DD72-4FFA-773A-0FBC8DBB936D}"/>
            </a:ext>
          </a:extLst>
        </xdr:cNvPr>
        <xdr:cNvPicPr>
          <a:picLocks noChangeAspect="1"/>
        </xdr:cNvPicPr>
      </xdr:nvPicPr>
      <xdr:blipFill>
        <a:blip xmlns:r="http://schemas.openxmlformats.org/officeDocument/2006/relationships" r:embed="rId6"/>
        <a:stretch>
          <a:fillRect/>
        </a:stretch>
      </xdr:blipFill>
      <xdr:spPr>
        <a:xfrm>
          <a:off x="352425" y="2940444"/>
          <a:ext cx="7555056" cy="3165806"/>
        </a:xfrm>
        <a:prstGeom prst="rect">
          <a:avLst/>
        </a:prstGeom>
      </xdr:spPr>
    </xdr:pic>
    <xdr:clientData/>
  </xdr:twoCellAnchor>
  <xdr:twoCellAnchor>
    <xdr:from>
      <xdr:col>15</xdr:col>
      <xdr:colOff>187698</xdr:colOff>
      <xdr:row>118</xdr:row>
      <xdr:rowOff>65180</xdr:rowOff>
    </xdr:from>
    <xdr:to>
      <xdr:col>17</xdr:col>
      <xdr:colOff>203573</xdr:colOff>
      <xdr:row>123</xdr:row>
      <xdr:rowOff>126999</xdr:rowOff>
    </xdr:to>
    <xdr:sp macro="" textlink="">
      <xdr:nvSpPr>
        <xdr:cNvPr id="6" name="Callout: Line 5">
          <a:extLst>
            <a:ext uri="{FF2B5EF4-FFF2-40B4-BE49-F238E27FC236}">
              <a16:creationId xmlns:a16="http://schemas.microsoft.com/office/drawing/2014/main" id="{69CEAA2A-F9B9-46DC-9EA7-8109C8387B20}"/>
            </a:ext>
          </a:extLst>
        </xdr:cNvPr>
        <xdr:cNvSpPr/>
      </xdr:nvSpPr>
      <xdr:spPr>
        <a:xfrm>
          <a:off x="9236448" y="24163430"/>
          <a:ext cx="1235075" cy="855569"/>
        </a:xfrm>
        <a:prstGeom prst="borderCallout1">
          <a:avLst>
            <a:gd name="adj1" fmla="val -13749"/>
            <a:gd name="adj2" fmla="val 75817"/>
            <a:gd name="adj3" fmla="val -128621"/>
            <a:gd name="adj4" fmla="val 89253"/>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Cells</a:t>
          </a:r>
          <a:r>
            <a:rPr lang="en-AU" sz="1000" baseline="0">
              <a:solidFill>
                <a:schemeClr val="bg1"/>
              </a:solidFill>
              <a:latin typeface="Poppins regular"/>
            </a:rPr>
            <a:t> for User to enter project specific rate </a:t>
          </a:r>
          <a:endParaRPr lang="en-AU" sz="1000">
            <a:solidFill>
              <a:schemeClr val="bg1"/>
            </a:solidFill>
            <a:latin typeface="Poppins regular"/>
          </a:endParaRPr>
        </a:p>
      </xdr:txBody>
    </xdr:sp>
    <xdr:clientData/>
  </xdr:twoCellAnchor>
  <xdr:twoCellAnchor>
    <xdr:from>
      <xdr:col>8</xdr:col>
      <xdr:colOff>256243</xdr:colOff>
      <xdr:row>92</xdr:row>
      <xdr:rowOff>85912</xdr:rowOff>
    </xdr:from>
    <xdr:to>
      <xdr:col>11</xdr:col>
      <xdr:colOff>100855</xdr:colOff>
      <xdr:row>96</xdr:row>
      <xdr:rowOff>22413</xdr:rowOff>
    </xdr:to>
    <xdr:sp macro="" textlink="">
      <xdr:nvSpPr>
        <xdr:cNvPr id="8" name="Callout: Line 7">
          <a:extLst>
            <a:ext uri="{FF2B5EF4-FFF2-40B4-BE49-F238E27FC236}">
              <a16:creationId xmlns:a16="http://schemas.microsoft.com/office/drawing/2014/main" id="{9246F31C-7108-4851-B392-172C8933E78C}"/>
            </a:ext>
          </a:extLst>
        </xdr:cNvPr>
        <xdr:cNvSpPr/>
      </xdr:nvSpPr>
      <xdr:spPr>
        <a:xfrm>
          <a:off x="4828243" y="19819471"/>
          <a:ext cx="1592730" cy="564030"/>
        </a:xfrm>
        <a:prstGeom prst="borderCallout1">
          <a:avLst>
            <a:gd name="adj1" fmla="val 56503"/>
            <a:gd name="adj2" fmla="val -3070"/>
            <a:gd name="adj3" fmla="val 45601"/>
            <a:gd name="adj4" fmla="val -62674"/>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Live User-entered</a:t>
          </a:r>
          <a:r>
            <a:rPr lang="en-AU" sz="1000" baseline="0">
              <a:solidFill>
                <a:schemeClr val="bg1"/>
              </a:solidFill>
              <a:latin typeface="Poppins regular"/>
            </a:rPr>
            <a:t> project quantities used in calculations</a:t>
          </a:r>
          <a:endParaRPr lang="en-AU" sz="1000">
            <a:solidFill>
              <a:schemeClr val="bg1"/>
            </a:solidFill>
            <a:latin typeface="Poppins regular"/>
          </a:endParaRPr>
        </a:p>
      </xdr:txBody>
    </xdr:sp>
    <xdr:clientData/>
  </xdr:twoCellAnchor>
  <xdr:twoCellAnchor>
    <xdr:from>
      <xdr:col>3</xdr:col>
      <xdr:colOff>108136</xdr:colOff>
      <xdr:row>200</xdr:row>
      <xdr:rowOff>66673</xdr:rowOff>
    </xdr:from>
    <xdr:to>
      <xdr:col>5</xdr:col>
      <xdr:colOff>336737</xdr:colOff>
      <xdr:row>206</xdr:row>
      <xdr:rowOff>107950</xdr:rowOff>
    </xdr:to>
    <xdr:sp macro="" textlink="">
      <xdr:nvSpPr>
        <xdr:cNvPr id="24" name="Callout: Line 23">
          <a:extLst>
            <a:ext uri="{FF2B5EF4-FFF2-40B4-BE49-F238E27FC236}">
              <a16:creationId xmlns:a16="http://schemas.microsoft.com/office/drawing/2014/main" id="{E271A905-83E2-463B-91A9-4A3D2AE89AB0}"/>
            </a:ext>
          </a:extLst>
        </xdr:cNvPr>
        <xdr:cNvSpPr/>
      </xdr:nvSpPr>
      <xdr:spPr>
        <a:xfrm>
          <a:off x="1841686" y="37258623"/>
          <a:ext cx="1447801" cy="993777"/>
        </a:xfrm>
        <a:prstGeom prst="borderCallout1">
          <a:avLst>
            <a:gd name="adj1" fmla="val -6163"/>
            <a:gd name="adj2" fmla="val 76966"/>
            <a:gd name="adj3" fmla="val -36078"/>
            <a:gd name="adj4" fmla="val 122254"/>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Cells for Users to enter</a:t>
          </a:r>
          <a:r>
            <a:rPr lang="en-AU" sz="1000" baseline="0">
              <a:solidFill>
                <a:schemeClr val="bg1"/>
              </a:solidFill>
              <a:latin typeface="Poppins regular"/>
            </a:rPr>
            <a:t> project specific unit cost rates</a:t>
          </a:r>
          <a:endParaRPr lang="en-AU" sz="1000">
            <a:solidFill>
              <a:schemeClr val="bg1"/>
            </a:solidFill>
            <a:latin typeface="Poppins regular"/>
          </a:endParaRPr>
        </a:p>
      </xdr:txBody>
    </xdr:sp>
    <xdr:clientData/>
  </xdr:twoCellAnchor>
  <xdr:twoCellAnchor>
    <xdr:from>
      <xdr:col>8</xdr:col>
      <xdr:colOff>493806</xdr:colOff>
      <xdr:row>201</xdr:row>
      <xdr:rowOff>44822</xdr:rowOff>
    </xdr:from>
    <xdr:to>
      <xdr:col>11</xdr:col>
      <xdr:colOff>139700</xdr:colOff>
      <xdr:row>206</xdr:row>
      <xdr:rowOff>88899</xdr:rowOff>
    </xdr:to>
    <xdr:sp macro="" textlink="">
      <xdr:nvSpPr>
        <xdr:cNvPr id="27" name="Callout: Line 26">
          <a:extLst>
            <a:ext uri="{FF2B5EF4-FFF2-40B4-BE49-F238E27FC236}">
              <a16:creationId xmlns:a16="http://schemas.microsoft.com/office/drawing/2014/main" id="{472708EF-FB8A-43E9-A000-D41B1E8ADDF5}"/>
            </a:ext>
          </a:extLst>
        </xdr:cNvPr>
        <xdr:cNvSpPr/>
      </xdr:nvSpPr>
      <xdr:spPr>
        <a:xfrm>
          <a:off x="5275356" y="37395522"/>
          <a:ext cx="1474694" cy="837827"/>
        </a:xfrm>
        <a:prstGeom prst="borderCallout1">
          <a:avLst>
            <a:gd name="adj1" fmla="val -3731"/>
            <a:gd name="adj2" fmla="val 17481"/>
            <a:gd name="adj3" fmla="val -72949"/>
            <a:gd name="adj4" fmla="val -30278"/>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Default</a:t>
          </a:r>
          <a:r>
            <a:rPr lang="en-AU" sz="1000" baseline="0">
              <a:solidFill>
                <a:schemeClr val="bg1"/>
              </a:solidFill>
              <a:latin typeface="Poppins regular"/>
            </a:rPr>
            <a:t> unit rates</a:t>
          </a:r>
          <a:endParaRPr lang="en-AU" sz="1000">
            <a:solidFill>
              <a:schemeClr val="bg1"/>
            </a:solidFill>
            <a:latin typeface="Poppins regular"/>
          </a:endParaRPr>
        </a:p>
      </xdr:txBody>
    </xdr:sp>
    <xdr:clientData/>
  </xdr:twoCellAnchor>
  <xdr:twoCellAnchor>
    <xdr:from>
      <xdr:col>9</xdr:col>
      <xdr:colOff>515469</xdr:colOff>
      <xdr:row>47</xdr:row>
      <xdr:rowOff>49302</xdr:rowOff>
    </xdr:from>
    <xdr:to>
      <xdr:col>11</xdr:col>
      <xdr:colOff>246530</xdr:colOff>
      <xdr:row>47</xdr:row>
      <xdr:rowOff>997322</xdr:rowOff>
    </xdr:to>
    <xdr:sp macro="" textlink="">
      <xdr:nvSpPr>
        <xdr:cNvPr id="18" name="Oval 17">
          <a:extLst>
            <a:ext uri="{FF2B5EF4-FFF2-40B4-BE49-F238E27FC236}">
              <a16:creationId xmlns:a16="http://schemas.microsoft.com/office/drawing/2014/main" id="{2DD90F3F-92AB-375C-6F7A-DBD77790FD4F}"/>
            </a:ext>
          </a:extLst>
        </xdr:cNvPr>
        <xdr:cNvSpPr/>
      </xdr:nvSpPr>
      <xdr:spPr>
        <a:xfrm>
          <a:off x="5670175" y="7983067"/>
          <a:ext cx="896473" cy="948020"/>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129492</xdr:colOff>
      <xdr:row>52</xdr:row>
      <xdr:rowOff>423333</xdr:rowOff>
    </xdr:from>
    <xdr:to>
      <xdr:col>19</xdr:col>
      <xdr:colOff>139016</xdr:colOff>
      <xdr:row>52</xdr:row>
      <xdr:rowOff>1730128</xdr:rowOff>
    </xdr:to>
    <xdr:sp macro="" textlink="">
      <xdr:nvSpPr>
        <xdr:cNvPr id="25" name="Oval 24">
          <a:extLst>
            <a:ext uri="{FF2B5EF4-FFF2-40B4-BE49-F238E27FC236}">
              <a16:creationId xmlns:a16="http://schemas.microsoft.com/office/drawing/2014/main" id="{33E581E7-B182-47F6-88EE-FEB5082AB590}"/>
            </a:ext>
          </a:extLst>
        </xdr:cNvPr>
        <xdr:cNvSpPr/>
      </xdr:nvSpPr>
      <xdr:spPr>
        <a:xfrm>
          <a:off x="7029825" y="11472333"/>
          <a:ext cx="4084108" cy="1306795"/>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343646</xdr:colOff>
      <xdr:row>56</xdr:row>
      <xdr:rowOff>551889</xdr:rowOff>
    </xdr:from>
    <xdr:to>
      <xdr:col>7</xdr:col>
      <xdr:colOff>145675</xdr:colOff>
      <xdr:row>56</xdr:row>
      <xdr:rowOff>918882</xdr:rowOff>
    </xdr:to>
    <xdr:sp macro="" textlink="">
      <xdr:nvSpPr>
        <xdr:cNvPr id="28" name="Oval 27">
          <a:extLst>
            <a:ext uri="{FF2B5EF4-FFF2-40B4-BE49-F238E27FC236}">
              <a16:creationId xmlns:a16="http://schemas.microsoft.com/office/drawing/2014/main" id="{A4ACD18E-6B5B-43D5-9CA1-CA5E0FD97C2A}"/>
            </a:ext>
          </a:extLst>
        </xdr:cNvPr>
        <xdr:cNvSpPr/>
      </xdr:nvSpPr>
      <xdr:spPr>
        <a:xfrm>
          <a:off x="3167528" y="13461065"/>
          <a:ext cx="967441" cy="366993"/>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21</xdr:col>
      <xdr:colOff>65554</xdr:colOff>
      <xdr:row>118</xdr:row>
      <xdr:rowOff>98799</xdr:rowOff>
    </xdr:from>
    <xdr:to>
      <xdr:col>23</xdr:col>
      <xdr:colOff>381000</xdr:colOff>
      <xdr:row>123</xdr:row>
      <xdr:rowOff>63500</xdr:rowOff>
    </xdr:to>
    <xdr:sp macro="" textlink="">
      <xdr:nvSpPr>
        <xdr:cNvPr id="38" name="Callout: Line 37">
          <a:extLst>
            <a:ext uri="{FF2B5EF4-FFF2-40B4-BE49-F238E27FC236}">
              <a16:creationId xmlns:a16="http://schemas.microsoft.com/office/drawing/2014/main" id="{9F06991E-D3AE-4E71-9F47-55B5F084660B}"/>
            </a:ext>
          </a:extLst>
        </xdr:cNvPr>
        <xdr:cNvSpPr/>
      </xdr:nvSpPr>
      <xdr:spPr>
        <a:xfrm>
          <a:off x="12771904" y="24197049"/>
          <a:ext cx="1534646" cy="758451"/>
        </a:xfrm>
        <a:prstGeom prst="borderCallout1">
          <a:avLst>
            <a:gd name="adj1" fmla="val -3115"/>
            <a:gd name="adj2" fmla="val 20593"/>
            <a:gd name="adj3" fmla="val -54458"/>
            <a:gd name="adj4" fmla="val 6203"/>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Total</a:t>
          </a:r>
          <a:r>
            <a:rPr lang="en-AU" sz="1000" baseline="0">
              <a:solidFill>
                <a:schemeClr val="bg1"/>
              </a:solidFill>
              <a:latin typeface="Poppins regular"/>
            </a:rPr>
            <a:t> cost of element </a:t>
          </a:r>
          <a:endParaRPr lang="en-AU" sz="1000">
            <a:solidFill>
              <a:schemeClr val="bg1"/>
            </a:solidFill>
            <a:latin typeface="Poppins regular"/>
          </a:endParaRPr>
        </a:p>
      </xdr:txBody>
    </xdr:sp>
    <xdr:clientData/>
  </xdr:twoCellAnchor>
  <xdr:twoCellAnchor editAs="oneCell">
    <xdr:from>
      <xdr:col>1</xdr:col>
      <xdr:colOff>38100</xdr:colOff>
      <xdr:row>1</xdr:row>
      <xdr:rowOff>9525</xdr:rowOff>
    </xdr:from>
    <xdr:to>
      <xdr:col>5</xdr:col>
      <xdr:colOff>91527</xdr:colOff>
      <xdr:row>5</xdr:row>
      <xdr:rowOff>46454</xdr:rowOff>
    </xdr:to>
    <xdr:pic>
      <xdr:nvPicPr>
        <xdr:cNvPr id="2" name="Picture 1" descr="Government of South Australia logo - Home">
          <a:extLst>
            <a:ext uri="{FF2B5EF4-FFF2-40B4-BE49-F238E27FC236}">
              <a16:creationId xmlns:a16="http://schemas.microsoft.com/office/drawing/2014/main" id="{2ED8BFEE-C6B9-461E-9B63-2ED80CAE949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1950" y="171450"/>
          <a:ext cx="2548977" cy="684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50</xdr:row>
      <xdr:rowOff>123265</xdr:rowOff>
    </xdr:from>
    <xdr:to>
      <xdr:col>12</xdr:col>
      <xdr:colOff>392205</xdr:colOff>
      <xdr:row>50</xdr:row>
      <xdr:rowOff>1663845</xdr:rowOff>
    </xdr:to>
    <xdr:pic>
      <xdr:nvPicPr>
        <xdr:cNvPr id="14" name="Picture 13">
          <a:extLst>
            <a:ext uri="{FF2B5EF4-FFF2-40B4-BE49-F238E27FC236}">
              <a16:creationId xmlns:a16="http://schemas.microsoft.com/office/drawing/2014/main" id="{6B2FF09B-78FB-11B9-A1D6-4C1C80AF8504}"/>
            </a:ext>
          </a:extLst>
        </xdr:cNvPr>
        <xdr:cNvPicPr>
          <a:picLocks noChangeAspect="1"/>
        </xdr:cNvPicPr>
      </xdr:nvPicPr>
      <xdr:blipFill>
        <a:blip xmlns:r="http://schemas.openxmlformats.org/officeDocument/2006/relationships" r:embed="rId8"/>
        <a:stretch>
          <a:fillRect/>
        </a:stretch>
      </xdr:blipFill>
      <xdr:spPr>
        <a:xfrm>
          <a:off x="2241176" y="9424147"/>
          <a:ext cx="5053853" cy="1540580"/>
        </a:xfrm>
        <a:prstGeom prst="rect">
          <a:avLst/>
        </a:prstGeom>
      </xdr:spPr>
    </xdr:pic>
    <xdr:clientData/>
  </xdr:twoCellAnchor>
  <xdr:twoCellAnchor>
    <xdr:from>
      <xdr:col>10</xdr:col>
      <xdr:colOff>85163</xdr:colOff>
      <xdr:row>50</xdr:row>
      <xdr:rowOff>504265</xdr:rowOff>
    </xdr:from>
    <xdr:to>
      <xdr:col>11</xdr:col>
      <xdr:colOff>347382</xdr:colOff>
      <xdr:row>50</xdr:row>
      <xdr:rowOff>1407457</xdr:rowOff>
    </xdr:to>
    <xdr:sp macro="" textlink="">
      <xdr:nvSpPr>
        <xdr:cNvPr id="17" name="Oval 16">
          <a:extLst>
            <a:ext uri="{FF2B5EF4-FFF2-40B4-BE49-F238E27FC236}">
              <a16:creationId xmlns:a16="http://schemas.microsoft.com/office/drawing/2014/main" id="{DD76D6EC-385E-48E0-B5A0-C3D4891832C9}"/>
            </a:ext>
          </a:extLst>
        </xdr:cNvPr>
        <xdr:cNvSpPr/>
      </xdr:nvSpPr>
      <xdr:spPr>
        <a:xfrm>
          <a:off x="5822575" y="9805147"/>
          <a:ext cx="844925" cy="903192"/>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3</xdr:col>
      <xdr:colOff>560294</xdr:colOff>
      <xdr:row>65</xdr:row>
      <xdr:rowOff>112058</xdr:rowOff>
    </xdr:from>
    <xdr:to>
      <xdr:col>11</xdr:col>
      <xdr:colOff>196743</xdr:colOff>
      <xdr:row>79</xdr:row>
      <xdr:rowOff>1867</xdr:rowOff>
    </xdr:to>
    <xdr:pic>
      <xdr:nvPicPr>
        <xdr:cNvPr id="26" name="Picture 25">
          <a:extLst>
            <a:ext uri="{FF2B5EF4-FFF2-40B4-BE49-F238E27FC236}">
              <a16:creationId xmlns:a16="http://schemas.microsoft.com/office/drawing/2014/main" id="{5CE7868C-CBC3-D0F8-7B24-7B2B12C9EB2F}"/>
            </a:ext>
          </a:extLst>
        </xdr:cNvPr>
        <xdr:cNvPicPr>
          <a:picLocks noChangeAspect="1"/>
        </xdr:cNvPicPr>
      </xdr:nvPicPr>
      <xdr:blipFill>
        <a:blip xmlns:r="http://schemas.openxmlformats.org/officeDocument/2006/relationships" r:embed="rId9"/>
        <a:stretch>
          <a:fillRect/>
        </a:stretch>
      </xdr:blipFill>
      <xdr:spPr>
        <a:xfrm>
          <a:off x="2221877" y="15743641"/>
          <a:ext cx="4293116" cy="2110441"/>
        </a:xfrm>
        <a:prstGeom prst="rect">
          <a:avLst/>
        </a:prstGeom>
      </xdr:spPr>
    </xdr:pic>
    <xdr:clientData/>
  </xdr:twoCellAnchor>
  <xdr:twoCellAnchor editAs="oneCell">
    <xdr:from>
      <xdr:col>0</xdr:col>
      <xdr:colOff>257734</xdr:colOff>
      <xdr:row>127</xdr:row>
      <xdr:rowOff>11205</xdr:rowOff>
    </xdr:from>
    <xdr:to>
      <xdr:col>11</xdr:col>
      <xdr:colOff>358588</xdr:colOff>
      <xdr:row>180</xdr:row>
      <xdr:rowOff>148288</xdr:rowOff>
    </xdr:to>
    <xdr:pic>
      <xdr:nvPicPr>
        <xdr:cNvPr id="21" name="Picture 20">
          <a:extLst>
            <a:ext uri="{FF2B5EF4-FFF2-40B4-BE49-F238E27FC236}">
              <a16:creationId xmlns:a16="http://schemas.microsoft.com/office/drawing/2014/main" id="{32025B75-0147-2D60-84ED-494F71C15CCF}"/>
            </a:ext>
          </a:extLst>
        </xdr:cNvPr>
        <xdr:cNvPicPr>
          <a:picLocks noChangeAspect="1"/>
        </xdr:cNvPicPr>
      </xdr:nvPicPr>
      <xdr:blipFill>
        <a:blip xmlns:r="http://schemas.openxmlformats.org/officeDocument/2006/relationships" r:embed="rId10"/>
        <a:stretch>
          <a:fillRect/>
        </a:stretch>
      </xdr:blipFill>
      <xdr:spPr>
        <a:xfrm>
          <a:off x="257734" y="25269264"/>
          <a:ext cx="6420972" cy="8451848"/>
        </a:xfrm>
        <a:prstGeom prst="rect">
          <a:avLst/>
        </a:prstGeom>
      </xdr:spPr>
    </xdr:pic>
    <xdr:clientData/>
  </xdr:twoCellAnchor>
  <xdr:twoCellAnchor>
    <xdr:from>
      <xdr:col>12</xdr:col>
      <xdr:colOff>201706</xdr:colOff>
      <xdr:row>142</xdr:row>
      <xdr:rowOff>0</xdr:rowOff>
    </xdr:from>
    <xdr:to>
      <xdr:col>15</xdr:col>
      <xdr:colOff>103656</xdr:colOff>
      <xdr:row>148</xdr:row>
      <xdr:rowOff>139700</xdr:rowOff>
    </xdr:to>
    <xdr:sp macro="" textlink="">
      <xdr:nvSpPr>
        <xdr:cNvPr id="31" name="Callout: Line 30">
          <a:extLst>
            <a:ext uri="{FF2B5EF4-FFF2-40B4-BE49-F238E27FC236}">
              <a16:creationId xmlns:a16="http://schemas.microsoft.com/office/drawing/2014/main" id="{C377B1FF-1822-4DA0-87FC-1D17ED5D4AE9}"/>
            </a:ext>
          </a:extLst>
        </xdr:cNvPr>
        <xdr:cNvSpPr/>
      </xdr:nvSpPr>
      <xdr:spPr>
        <a:xfrm>
          <a:off x="7421656" y="27946350"/>
          <a:ext cx="1730750" cy="1092200"/>
        </a:xfrm>
        <a:prstGeom prst="borderCallout1">
          <a:avLst>
            <a:gd name="adj1" fmla="val 50791"/>
            <a:gd name="adj2" fmla="val -3706"/>
            <a:gd name="adj3" fmla="val 42681"/>
            <a:gd name="adj4" fmla="val -53946"/>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Totals</a:t>
          </a:r>
          <a:r>
            <a:rPr lang="en-AU" sz="1000" baseline="0">
              <a:solidFill>
                <a:schemeClr val="bg1"/>
              </a:solidFill>
              <a:latin typeface="Poppins regular"/>
            </a:rPr>
            <a:t> feed in from input sheets </a:t>
          </a:r>
          <a:endParaRPr lang="en-AU" sz="1000">
            <a:solidFill>
              <a:schemeClr val="bg1"/>
            </a:solidFill>
            <a:latin typeface="Poppins regular"/>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freighter.com.au/trailers/lusty-ems-chassis-tipper/"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ngineeringtoolbox.com/metal-alloys-densities-d_50.html%20%20(20%20to%2030%25%20swel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docslib.org/doc/2212090/technical-documentation-wind-turbine-generator-systems-3-6-137-50-60-hz" TargetMode="External"/><Relationship Id="rId3" Type="http://schemas.openxmlformats.org/officeDocument/2006/relationships/hyperlink" Target="https://www.goldwindamericas.com/sites/default/files/GW155-4.5MW-new.pdf" TargetMode="External"/><Relationship Id="rId7" Type="http://schemas.openxmlformats.org/officeDocument/2006/relationships/hyperlink" Target="https://www.vestas.com/en/energy-solutions/onshore-wind-turbines/enventus-platform/v162-6-2-mw" TargetMode="External"/><Relationship Id="rId2" Type="http://schemas.openxmlformats.org/officeDocument/2006/relationships/hyperlink" Target="https://www.thewindpower.net/wind-turbine-datasheet-175-enercon-e44-600.php?" TargetMode="External"/><Relationship Id="rId1" Type="http://schemas.openxmlformats.org/officeDocument/2006/relationships/hyperlink" Target="https://www.vestas.com/content/dam/vestas-com/global/en/sustainability/environment/2023_04_Material-Use-Brochure_Vestas.pdf.coredownload.inline.pdf" TargetMode="External"/><Relationship Id="rId6" Type="http://schemas.openxmlformats.org/officeDocument/2006/relationships/hyperlink" Target="https://www.vestas.com/content/dam/vestas-com/global/en/brochures/onshore/4MW_Platform_Brochure.pdf.coredownload.inline.pdf" TargetMode="External"/><Relationship Id="rId5" Type="http://schemas.openxmlformats.org/officeDocument/2006/relationships/hyperlink" Target="https://ia801900.us.archive.org/8/items/CDR-PDF-000038/CDR-PDF-000038-Brochures-Vestas-V112.pdf" TargetMode="External"/><Relationship Id="rId10" Type="http://schemas.openxmlformats.org/officeDocument/2006/relationships/hyperlink" Target="https://www.ledsjovind.se/ventosum/Vestas_V47.pdf" TargetMode="External"/><Relationship Id="rId4" Type="http://schemas.openxmlformats.org/officeDocument/2006/relationships/hyperlink" Target="https://www.nordex-online.com/en/product/n163-5-x/" TargetMode="External"/><Relationship Id="rId9" Type="http://schemas.openxmlformats.org/officeDocument/2006/relationships/hyperlink" Target="https://en.wind-turbine-models.com/turbines/1552-ge-vernova-ge-3.8-130"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carverma.gov/sites/g/files/vyhlif4221/f/uploads/megapack_2_xl_datasheet_0.pdf" TargetMode="External"/><Relationship Id="rId1" Type="http://schemas.openxmlformats.org/officeDocument/2006/relationships/hyperlink" Target="https://marketingdocuments.energytoolbase.com/marketing/TeslaMegapack2Datasheet.pdf"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nelhydrogen.com/product/psm-series-electrolyser/" TargetMode="External"/><Relationship Id="rId1" Type="http://schemas.openxmlformats.org/officeDocument/2006/relationships/hyperlink" Target="https://fest-group.de/en/solutions/pem-electrolyzer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epa.sa.gov.au/business_and_industry/waste-levy" TargetMode="External"/><Relationship Id="rId7" Type="http://schemas.openxmlformats.org/officeDocument/2006/relationships/printerSettings" Target="../printerSettings/printerSettings8.bin"/><Relationship Id="rId2" Type="http://schemas.openxmlformats.org/officeDocument/2006/relationships/hyperlink" Target="https://srwra.com.au/media-downloads/gate-fees/Gate%20Fees%202025%20-%202026.pdf" TargetMode="External"/><Relationship Id="rId1" Type="http://schemas.openxmlformats.org/officeDocument/2006/relationships/hyperlink" Target="https://premier-metals.com.au/copper-scrap-prices/" TargetMode="External"/><Relationship Id="rId6" Type="http://schemas.openxmlformats.org/officeDocument/2006/relationships/hyperlink" Target="https://www.dcceew.gov.au/environment/protection/used-oil-recycling/product-stewardship-oil-program" TargetMode="External"/><Relationship Id="rId5" Type="http://schemas.openxmlformats.org/officeDocument/2006/relationships/hyperlink" Target="https://www.epa.sa.gov.au/business_and_industry/waste-levy" TargetMode="External"/><Relationship Id="rId4" Type="http://schemas.openxmlformats.org/officeDocument/2006/relationships/hyperlink" Target="https://www.epa.sa.gov.au/business_and_industry/waste-lev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392F-9758-477C-BA78-9DF1CBF71F81}">
  <sheetPr codeName="Sheet2">
    <tabColor rgb="FFD9E1F2"/>
  </sheetPr>
  <dimension ref="B2:D53"/>
  <sheetViews>
    <sheetView showGridLines="0" tabSelected="1" zoomScaleNormal="100" workbookViewId="0">
      <pane ySplit="5" topLeftCell="A6" activePane="bottomLeft" state="frozen"/>
      <selection pane="bottomLeft"/>
    </sheetView>
  </sheetViews>
  <sheetFormatPr defaultColWidth="8.7265625" defaultRowHeight="12.5"/>
  <cols>
    <col min="1" max="1" width="5.453125" style="219" customWidth="1"/>
    <col min="2" max="2" width="10.81640625" style="219" customWidth="1"/>
    <col min="3" max="3" width="14.54296875" style="219" customWidth="1"/>
    <col min="4" max="4" width="114.26953125" style="219" customWidth="1"/>
    <col min="5" max="16384" width="8.7265625" style="219"/>
  </cols>
  <sheetData>
    <row r="2" spans="2:4" ht="69.75" customHeight="1"/>
    <row r="3" spans="2:4" ht="13.5" customHeight="1">
      <c r="B3" s="220" t="s">
        <v>0</v>
      </c>
      <c r="C3" s="221"/>
      <c r="D3" s="221"/>
    </row>
    <row r="4" spans="2:4" ht="3" customHeight="1">
      <c r="B4" s="3"/>
      <c r="C4" s="3"/>
      <c r="D4" s="3"/>
    </row>
    <row r="5" spans="2:4" ht="5.15" customHeight="1">
      <c r="B5" s="222"/>
      <c r="C5" s="222"/>
      <c r="D5" s="222"/>
    </row>
    <row r="6" spans="2:4">
      <c r="B6" s="223"/>
    </row>
    <row r="7" spans="2:4" ht="13">
      <c r="B7" s="224" t="s">
        <v>1</v>
      </c>
      <c r="C7" s="225"/>
      <c r="D7" s="226" t="s">
        <v>2</v>
      </c>
    </row>
    <row r="8" spans="2:4">
      <c r="B8" s="223"/>
      <c r="C8" s="227"/>
    </row>
    <row r="9" spans="2:4" ht="13">
      <c r="B9" s="224" t="s">
        <v>3</v>
      </c>
      <c r="C9" s="225"/>
      <c r="D9" s="9"/>
    </row>
    <row r="10" spans="2:4">
      <c r="B10" s="223"/>
    </row>
    <row r="11" spans="2:4" ht="13">
      <c r="B11" s="224" t="s">
        <v>4</v>
      </c>
      <c r="C11" s="225"/>
      <c r="D11" s="10"/>
    </row>
    <row r="12" spans="2:4">
      <c r="D12" s="9"/>
    </row>
    <row r="13" spans="2:4">
      <c r="D13" s="9"/>
    </row>
    <row r="14" spans="2:4">
      <c r="D14" s="9"/>
    </row>
    <row r="15" spans="2:4">
      <c r="D15" s="9"/>
    </row>
    <row r="16" spans="2:4">
      <c r="D16" s="9"/>
    </row>
    <row r="18" spans="2:4" ht="13">
      <c r="B18" s="224" t="s">
        <v>5</v>
      </c>
      <c r="C18" s="225"/>
      <c r="D18" s="10"/>
    </row>
    <row r="19" spans="2:4">
      <c r="B19" s="223"/>
      <c r="C19" s="227"/>
      <c r="D19" s="10"/>
    </row>
    <row r="20" spans="2:4">
      <c r="B20" s="223"/>
      <c r="C20" s="227"/>
      <c r="D20" s="10"/>
    </row>
    <row r="21" spans="2:4">
      <c r="B21" s="223"/>
      <c r="C21" s="227"/>
      <c r="D21" s="10"/>
    </row>
    <row r="22" spans="2:4">
      <c r="B22" s="223"/>
      <c r="C22" s="227"/>
      <c r="D22" s="10"/>
    </row>
    <row r="23" spans="2:4">
      <c r="B23" s="223"/>
      <c r="C23" s="227"/>
      <c r="D23" s="10"/>
    </row>
    <row r="24" spans="2:4">
      <c r="B24" s="223"/>
      <c r="C24" s="227"/>
    </row>
    <row r="25" spans="2:4" ht="93" customHeight="1">
      <c r="B25" s="228" t="s">
        <v>6</v>
      </c>
      <c r="C25" s="229"/>
      <c r="D25" s="4" t="s">
        <v>7</v>
      </c>
    </row>
    <row r="26" spans="2:4" ht="13">
      <c r="B26" s="230"/>
      <c r="C26" s="230"/>
      <c r="D26" s="230"/>
    </row>
    <row r="27" spans="2:4" ht="160" customHeight="1">
      <c r="B27" s="228" t="s">
        <v>8</v>
      </c>
      <c r="C27" s="229"/>
      <c r="D27" s="4" t="s">
        <v>1356</v>
      </c>
    </row>
    <row r="28" spans="2:4" ht="222" customHeight="1">
      <c r="B28" s="228"/>
      <c r="C28" s="229"/>
      <c r="D28" s="4" t="s">
        <v>9</v>
      </c>
    </row>
    <row r="29" spans="2:4" ht="13">
      <c r="B29" s="230"/>
      <c r="C29" s="230"/>
      <c r="D29" s="230"/>
    </row>
    <row r="30" spans="2:4" ht="13">
      <c r="B30" s="224" t="s">
        <v>10</v>
      </c>
      <c r="C30" s="5" t="s">
        <v>11</v>
      </c>
      <c r="D30" s="6" t="s">
        <v>12</v>
      </c>
    </row>
    <row r="31" spans="2:4" ht="13">
      <c r="B31" s="230"/>
      <c r="C31" s="5" t="s">
        <v>13</v>
      </c>
      <c r="D31" s="6" t="s">
        <v>14</v>
      </c>
    </row>
    <row r="32" spans="2:4" ht="13">
      <c r="B32" s="230"/>
      <c r="C32" s="5" t="s">
        <v>15</v>
      </c>
      <c r="D32" s="6" t="s">
        <v>16</v>
      </c>
    </row>
    <row r="33" spans="2:4" ht="13">
      <c r="B33" s="230"/>
      <c r="C33" s="5" t="s">
        <v>17</v>
      </c>
      <c r="D33" s="6" t="s">
        <v>18</v>
      </c>
    </row>
    <row r="34" spans="2:4" ht="13">
      <c r="B34" s="230"/>
      <c r="C34" s="5" t="s">
        <v>19</v>
      </c>
      <c r="D34" s="6" t="s">
        <v>20</v>
      </c>
    </row>
    <row r="35" spans="2:4" ht="13">
      <c r="B35" s="230"/>
      <c r="C35" s="5" t="s">
        <v>21</v>
      </c>
      <c r="D35" s="7" t="s">
        <v>22</v>
      </c>
    </row>
    <row r="36" spans="2:4" ht="13">
      <c r="B36" s="230"/>
      <c r="C36" s="5" t="s">
        <v>23</v>
      </c>
      <c r="D36" s="6" t="s">
        <v>24</v>
      </c>
    </row>
    <row r="37" spans="2:4" ht="13">
      <c r="B37" s="230"/>
      <c r="C37" s="5" t="s">
        <v>25</v>
      </c>
      <c r="D37" s="6" t="s">
        <v>26</v>
      </c>
    </row>
    <row r="38" spans="2:4" ht="13">
      <c r="B38" s="230"/>
      <c r="C38" s="5" t="s">
        <v>27</v>
      </c>
      <c r="D38" s="6" t="s">
        <v>28</v>
      </c>
    </row>
    <row r="39" spans="2:4" ht="13">
      <c r="B39" s="230"/>
      <c r="C39" s="5" t="s">
        <v>29</v>
      </c>
      <c r="D39" s="6" t="s">
        <v>30</v>
      </c>
    </row>
    <row r="40" spans="2:4" ht="13">
      <c r="B40" s="230"/>
      <c r="C40" s="5" t="s">
        <v>31</v>
      </c>
      <c r="D40" s="6" t="s">
        <v>32</v>
      </c>
    </row>
    <row r="41" spans="2:4" ht="13">
      <c r="B41" s="230"/>
      <c r="C41" s="5" t="s">
        <v>33</v>
      </c>
      <c r="D41" s="6" t="s">
        <v>34</v>
      </c>
    </row>
    <row r="42" spans="2:4" ht="13">
      <c r="B42" s="230"/>
      <c r="C42" s="5" t="s">
        <v>35</v>
      </c>
      <c r="D42" s="6" t="s">
        <v>36</v>
      </c>
    </row>
    <row r="44" spans="2:4" ht="13">
      <c r="B44" s="225" t="s">
        <v>37</v>
      </c>
      <c r="C44" s="8">
        <v>46010</v>
      </c>
      <c r="D44" s="6" t="s">
        <v>38</v>
      </c>
    </row>
    <row r="45" spans="2:4" ht="13">
      <c r="B45" s="230"/>
      <c r="C45" s="8">
        <v>46100</v>
      </c>
      <c r="D45" s="6" t="s">
        <v>39</v>
      </c>
    </row>
    <row r="46" spans="2:4" ht="13">
      <c r="B46" s="230"/>
      <c r="C46" s="8">
        <v>46122</v>
      </c>
      <c r="D46" s="6" t="s">
        <v>40</v>
      </c>
    </row>
    <row r="47" spans="2:4">
      <c r="C47" s="8">
        <v>46122</v>
      </c>
      <c r="D47" s="6" t="s">
        <v>41</v>
      </c>
    </row>
    <row r="48" spans="2:4">
      <c r="C48" s="8">
        <v>46162</v>
      </c>
      <c r="D48" s="6" t="s">
        <v>42</v>
      </c>
    </row>
    <row r="49" spans="3:4">
      <c r="C49" s="8">
        <v>46164</v>
      </c>
      <c r="D49" s="6" t="s">
        <v>43</v>
      </c>
    </row>
    <row r="50" spans="3:4">
      <c r="C50" s="8">
        <v>46192</v>
      </c>
      <c r="D50" s="6" t="s">
        <v>44</v>
      </c>
    </row>
    <row r="51" spans="3:4">
      <c r="C51" s="8">
        <v>46203</v>
      </c>
      <c r="D51" s="6" t="s">
        <v>45</v>
      </c>
    </row>
    <row r="52" spans="3:4">
      <c r="C52" s="8">
        <v>46217</v>
      </c>
      <c r="D52" s="6" t="s">
        <v>46</v>
      </c>
    </row>
    <row r="53" spans="3:4">
      <c r="C53" s="8">
        <v>46259</v>
      </c>
      <c r="D53" s="6" t="s">
        <v>1355</v>
      </c>
    </row>
  </sheetData>
  <sheetProtection algorithmName="SHA-512" hashValue="BWpnznQLlRas0PJhOg6FUEeMFW2NX2VGLxOfs6JAO0hFadpJqVs72GZZAyc/FeEltaCW8MZwg7bhLR/Kv6F66A==" saltValue="M/4q4DBRJ9/hh8P/HAo81w==" spinCount="100000" sheet="1" objects="1" scenarios="1" autoFilter="0"/>
  <hyperlinks>
    <hyperlink ref="C30" location="USER_GUIDE" display="User Guide" xr:uid="{D0E94A31-D0D1-4DDB-BB04-67F4C9EB0C42}"/>
    <hyperlink ref="C31" location="SUMMARY" display="Summary" xr:uid="{F3CFCFCC-A442-48A4-8CBF-111F2C4178A7}"/>
    <hyperlink ref="C32" location="SOLAR" display="Solar" xr:uid="{1414004F-C4EE-481B-BEAF-28AC7A17E265}"/>
    <hyperlink ref="C33" location="WIND" display="Wind" xr:uid="{986DEF0C-F592-4022-91E4-6A986854116F}"/>
    <hyperlink ref="C34" location="BESS" display="BESS" xr:uid="{BAB892D3-EE72-41F7-B960-3CBF6D6ED949}"/>
    <hyperlink ref="C36" location="Cost_Schedule" display="Cost_Schedule" xr:uid="{4FA29492-9324-493A-972A-C36C5781C8EE}"/>
    <hyperlink ref="C37" location="Rates" display="Rates" xr:uid="{E2A9B7A1-3DC1-4285-A839-BDF9C6719AD5}"/>
    <hyperlink ref="C38" location="Productivity" display="Productivity" xr:uid="{BB2C0C41-EB70-4AD3-A00E-FD2C38B00563}"/>
    <hyperlink ref="C39" location="Assumptions" display="Assumptions" xr:uid="{05546DA9-A745-4337-95FD-756D3546A1A3}"/>
    <hyperlink ref="C40" location="Panels" display="Panels" xr:uid="{19D564A5-5D3D-4F04-BF7A-30E7874E83F1}"/>
    <hyperlink ref="C41" location="Turbines" display="Turbines" xr:uid="{CEB6519B-B18E-4B2D-83C4-4D2210E57E2E}"/>
    <hyperlink ref="C42" location="Batteries" display="Batteries" xr:uid="{F5D94FBB-7697-42A9-94EC-3FD327E48543}"/>
    <hyperlink ref="C35" location="GREEN_HYDROGEN" display="Green Hydrogen" xr:uid="{BB95F593-7C44-4D3F-B707-CB3B69CEA0AC}"/>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51D7B-914B-404F-B6DE-73D497CF0E86}">
  <sheetPr codeName="Sheet12">
    <tabColor theme="5" tint="0.39997558519241921"/>
  </sheetPr>
  <dimension ref="B2:P100"/>
  <sheetViews>
    <sheetView showGridLines="0" zoomScaleNormal="100" workbookViewId="0">
      <pane ySplit="5" topLeftCell="A6" activePane="bottomLeft" state="frozen"/>
      <selection pane="bottomLeft"/>
    </sheetView>
  </sheetViews>
  <sheetFormatPr defaultColWidth="8.7265625" defaultRowHeight="12.5"/>
  <cols>
    <col min="1" max="1" width="8.7265625" style="219"/>
    <col min="2" max="2" width="37.1796875" style="219" bestFit="1" customWidth="1"/>
    <col min="3" max="3" width="9.54296875" style="219" customWidth="1"/>
    <col min="4" max="4" width="9.1796875" style="219" customWidth="1"/>
    <col min="5" max="16384" width="8.7265625" style="219"/>
  </cols>
  <sheetData>
    <row r="2" spans="2:15" s="219" customFormat="1" ht="13">
      <c r="B2" s="226" t="str">
        <f>Project_Name</f>
        <v xml:space="preserve">South Australia Hydrogen and Renewable Energy Restoration Cost Estimation Tool </v>
      </c>
    </row>
    <row r="4" spans="2:15" s="219" customFormat="1" ht="13">
      <c r="B4" s="362" t="s">
        <v>27</v>
      </c>
      <c r="C4" s="242"/>
      <c r="D4" s="242"/>
      <c r="E4" s="242"/>
      <c r="F4" s="242"/>
      <c r="G4" s="242"/>
      <c r="H4" s="242"/>
      <c r="I4" s="242"/>
      <c r="J4" s="242"/>
      <c r="K4" s="242"/>
      <c r="L4" s="242"/>
      <c r="M4" s="242"/>
      <c r="N4" s="242"/>
      <c r="O4" s="242"/>
    </row>
    <row r="5" spans="2:15" s="219" customFormat="1">
      <c r="B5" s="5" t="s">
        <v>47</v>
      </c>
    </row>
    <row r="6" spans="2:15" s="219" customFormat="1" ht="13">
      <c r="B6" s="230" t="s">
        <v>635</v>
      </c>
    </row>
    <row r="7" spans="2:15" s="219" customFormat="1">
      <c r="B7" s="146" t="s">
        <v>890</v>
      </c>
      <c r="C7" s="147">
        <v>100</v>
      </c>
      <c r="D7" s="219" t="s">
        <v>891</v>
      </c>
    </row>
    <row r="8" spans="2:15" s="219" customFormat="1">
      <c r="B8" s="146" t="s">
        <v>892</v>
      </c>
      <c r="C8" s="147">
        <v>66.666666666666671</v>
      </c>
      <c r="D8" s="219" t="s">
        <v>891</v>
      </c>
    </row>
    <row r="9" spans="2:15" s="219" customFormat="1">
      <c r="B9" s="146" t="s">
        <v>893</v>
      </c>
      <c r="C9" s="147">
        <v>50</v>
      </c>
      <c r="D9" s="219" t="s">
        <v>891</v>
      </c>
    </row>
    <row r="11" spans="2:15" s="219" customFormat="1" ht="13">
      <c r="B11" s="230" t="s">
        <v>894</v>
      </c>
    </row>
    <row r="12" spans="2:15" s="219" customFormat="1">
      <c r="B12" s="146" t="s">
        <v>895</v>
      </c>
      <c r="C12" s="148">
        <v>1</v>
      </c>
      <c r="D12" s="148">
        <v>1</v>
      </c>
      <c r="E12" s="148">
        <v>1</v>
      </c>
      <c r="F12" s="148">
        <v>1</v>
      </c>
      <c r="G12" s="148">
        <v>1</v>
      </c>
      <c r="H12" s="148">
        <v>1</v>
      </c>
      <c r="I12" s="148">
        <v>1</v>
      </c>
      <c r="J12" s="148">
        <v>2</v>
      </c>
      <c r="K12" s="148">
        <v>2</v>
      </c>
      <c r="L12" s="148">
        <v>3</v>
      </c>
      <c r="M12" s="148">
        <v>3</v>
      </c>
      <c r="N12" s="148">
        <v>3</v>
      </c>
      <c r="O12" s="148">
        <v>4</v>
      </c>
    </row>
    <row r="13" spans="2:15" s="219" customFormat="1">
      <c r="B13" s="146" t="s">
        <v>896</v>
      </c>
      <c r="C13" s="148">
        <v>20</v>
      </c>
      <c r="D13" s="148">
        <v>50</v>
      </c>
      <c r="E13" s="148">
        <v>75</v>
      </c>
      <c r="F13" s="148">
        <v>100</v>
      </c>
      <c r="G13" s="148">
        <v>125</v>
      </c>
      <c r="H13" s="148">
        <v>150</v>
      </c>
      <c r="I13" s="148">
        <v>200</v>
      </c>
      <c r="J13" s="148">
        <v>250</v>
      </c>
      <c r="K13" s="148">
        <v>300</v>
      </c>
      <c r="L13" s="148">
        <v>350</v>
      </c>
      <c r="M13" s="148">
        <v>400</v>
      </c>
      <c r="N13" s="148">
        <v>450</v>
      </c>
      <c r="O13" s="148">
        <v>500</v>
      </c>
    </row>
    <row r="14" spans="2:15" s="219" customFormat="1">
      <c r="B14" s="146" t="s">
        <v>897</v>
      </c>
      <c r="C14" s="149">
        <v>430</v>
      </c>
      <c r="D14" s="149">
        <v>195.75052015680001</v>
      </c>
      <c r="E14" s="149">
        <v>150.30843512039999</v>
      </c>
      <c r="F14" s="149">
        <v>104.86635008399999</v>
      </c>
      <c r="G14" s="149" t="s">
        <v>898</v>
      </c>
      <c r="H14" s="149" t="s">
        <v>898</v>
      </c>
      <c r="I14" s="149" t="s">
        <v>898</v>
      </c>
      <c r="J14" s="149" t="s">
        <v>898</v>
      </c>
      <c r="K14" s="149" t="s">
        <v>898</v>
      </c>
      <c r="L14" s="149" t="s">
        <v>898</v>
      </c>
      <c r="M14" s="149" t="s">
        <v>898</v>
      </c>
      <c r="N14" s="149" t="s">
        <v>898</v>
      </c>
      <c r="O14" s="149" t="s">
        <v>898</v>
      </c>
    </row>
    <row r="15" spans="2:15" s="219" customFormat="1">
      <c r="B15" s="146" t="s">
        <v>899</v>
      </c>
      <c r="C15" s="149">
        <v>582.59083380000004</v>
      </c>
      <c r="D15" s="149">
        <v>349.55450028000001</v>
      </c>
      <c r="E15" s="149">
        <v>262.16587521000002</v>
      </c>
      <c r="F15" s="149">
        <v>174.77725014000001</v>
      </c>
      <c r="G15" s="149" t="s">
        <v>898</v>
      </c>
      <c r="H15" s="149" t="s">
        <v>898</v>
      </c>
      <c r="I15" s="149" t="s">
        <v>898</v>
      </c>
      <c r="J15" s="149" t="s">
        <v>898</v>
      </c>
      <c r="K15" s="149" t="s">
        <v>898</v>
      </c>
      <c r="L15" s="149" t="s">
        <v>898</v>
      </c>
      <c r="M15" s="149" t="s">
        <v>898</v>
      </c>
      <c r="N15" s="149" t="s">
        <v>898</v>
      </c>
      <c r="O15" s="149" t="s">
        <v>898</v>
      </c>
    </row>
    <row r="16" spans="2:15" s="219" customFormat="1">
      <c r="B16" s="146" t="s">
        <v>785</v>
      </c>
      <c r="C16" s="149">
        <v>815.62716732000013</v>
      </c>
      <c r="D16" s="149">
        <v>442.76903368799998</v>
      </c>
      <c r="E16" s="149">
        <v>317.51200442099997</v>
      </c>
      <c r="F16" s="149">
        <v>192.25497515399999</v>
      </c>
      <c r="G16" s="149">
        <v>130.50034677120001</v>
      </c>
      <c r="H16" s="149">
        <v>97.098472300000012</v>
      </c>
      <c r="I16" s="149">
        <v>69.910900056000003</v>
      </c>
      <c r="J16" s="149" t="s">
        <v>898</v>
      </c>
      <c r="K16" s="149" t="s">
        <v>898</v>
      </c>
      <c r="L16" s="149" t="s">
        <v>898</v>
      </c>
      <c r="M16" s="149" t="s">
        <v>898</v>
      </c>
      <c r="N16" s="149" t="s">
        <v>898</v>
      </c>
      <c r="O16" s="149" t="s">
        <v>898</v>
      </c>
    </row>
    <row r="17" spans="2:16" s="219" customFormat="1">
      <c r="B17" s="146" t="s">
        <v>900</v>
      </c>
      <c r="C17" s="149">
        <v>1165.1816676000001</v>
      </c>
      <c r="D17" s="149">
        <v>652.5017338560001</v>
      </c>
      <c r="E17" s="149">
        <v>483.5503920540001</v>
      </c>
      <c r="F17" s="149">
        <v>314.59905025200004</v>
      </c>
      <c r="G17" s="149">
        <v>223.71488017920001</v>
      </c>
      <c r="H17" s="149">
        <v>194.19694460000002</v>
      </c>
      <c r="I17" s="149">
        <v>139.82180011200001</v>
      </c>
      <c r="J17" s="149">
        <v>298.86909773940005</v>
      </c>
      <c r="K17" s="149">
        <v>201.34339216128001</v>
      </c>
      <c r="L17" s="149">
        <v>190.15764815232001</v>
      </c>
      <c r="M17" s="149">
        <v>178.97190414336001</v>
      </c>
      <c r="N17" s="149">
        <v>167.78616013440001</v>
      </c>
      <c r="O17" s="149" t="s">
        <v>898</v>
      </c>
    </row>
    <row r="18" spans="2:16" s="219" customFormat="1">
      <c r="B18" s="146" t="s">
        <v>901</v>
      </c>
      <c r="C18" s="149">
        <v>1631.2543346400003</v>
      </c>
      <c r="D18" s="149">
        <v>885.53806737599996</v>
      </c>
      <c r="E18" s="149">
        <v>661.2405963629999</v>
      </c>
      <c r="F18" s="149">
        <v>436.94312534999995</v>
      </c>
      <c r="G18" s="149">
        <v>372.85813363200003</v>
      </c>
      <c r="H18" s="149">
        <v>318.48298914400004</v>
      </c>
      <c r="I18" s="149">
        <v>244.68815019600004</v>
      </c>
      <c r="J18" s="149">
        <v>415.09596908249995</v>
      </c>
      <c r="K18" s="149">
        <v>393.24881281499995</v>
      </c>
      <c r="L18" s="149">
        <v>371.40165654749995</v>
      </c>
      <c r="M18" s="149">
        <v>349.55450027999996</v>
      </c>
      <c r="N18" s="149">
        <v>327.70734401249996</v>
      </c>
      <c r="O18" s="149">
        <v>354.21522695039999</v>
      </c>
    </row>
    <row r="19" spans="2:16" s="219" customFormat="1">
      <c r="B19" s="146" t="s">
        <v>902</v>
      </c>
      <c r="C19" s="149">
        <v>2796.4360022400001</v>
      </c>
      <c r="D19" s="149">
        <v>1398.2180011200001</v>
      </c>
      <c r="E19" s="149">
        <v>1048.6635008400001</v>
      </c>
      <c r="F19" s="149">
        <v>699.10900056000003</v>
      </c>
      <c r="G19" s="149">
        <v>559.28720044800002</v>
      </c>
      <c r="H19" s="149">
        <v>466.07266704</v>
      </c>
      <c r="I19" s="149">
        <v>349.55450028000001</v>
      </c>
      <c r="J19" s="149">
        <v>664.15355053199994</v>
      </c>
      <c r="K19" s="149">
        <v>629.19810050400008</v>
      </c>
      <c r="L19" s="149">
        <v>594.24265047599999</v>
      </c>
      <c r="M19" s="149">
        <v>559.28720044800002</v>
      </c>
      <c r="N19" s="149">
        <v>524.33175042000005</v>
      </c>
      <c r="O19" s="149">
        <v>531.32284042560002</v>
      </c>
    </row>
    <row r="21" spans="2:16" s="219" customFormat="1" ht="50">
      <c r="B21" s="230" t="s">
        <v>903</v>
      </c>
      <c r="C21" s="387" t="s">
        <v>1714</v>
      </c>
      <c r="D21" s="387" t="s">
        <v>1715</v>
      </c>
      <c r="E21" s="387" t="s">
        <v>1716</v>
      </c>
      <c r="F21" s="387" t="s">
        <v>1717</v>
      </c>
      <c r="G21" s="387" t="s">
        <v>1718</v>
      </c>
      <c r="H21" s="387" t="s">
        <v>1719</v>
      </c>
      <c r="I21" s="387" t="s">
        <v>1720</v>
      </c>
      <c r="J21" s="387" t="s">
        <v>1721</v>
      </c>
      <c r="K21" s="387" t="s">
        <v>1722</v>
      </c>
      <c r="L21" s="387" t="s">
        <v>1723</v>
      </c>
      <c r="M21" s="387" t="s">
        <v>1724</v>
      </c>
      <c r="N21" s="387" t="s">
        <v>1725</v>
      </c>
      <c r="O21" s="387" t="s">
        <v>1726</v>
      </c>
      <c r="P21" s="387" t="s">
        <v>1727</v>
      </c>
    </row>
    <row r="22" spans="2:16" s="219" customFormat="1">
      <c r="B22" s="146" t="s">
        <v>897</v>
      </c>
      <c r="C22" s="149">
        <v>430</v>
      </c>
      <c r="D22" s="149">
        <v>312.8752600784</v>
      </c>
      <c r="E22" s="149">
        <v>173.02947763859999</v>
      </c>
      <c r="F22" s="149">
        <v>127.5873926022</v>
      </c>
      <c r="G22" s="149">
        <v>104.86635008399999</v>
      </c>
      <c r="H22" s="149" t="s">
        <v>898</v>
      </c>
      <c r="I22" s="149" t="s">
        <v>898</v>
      </c>
      <c r="J22" s="149" t="s">
        <v>898</v>
      </c>
      <c r="K22" s="149" t="s">
        <v>898</v>
      </c>
      <c r="L22" s="149" t="s">
        <v>898</v>
      </c>
      <c r="M22" s="149" t="s">
        <v>898</v>
      </c>
      <c r="N22" s="149" t="s">
        <v>898</v>
      </c>
      <c r="O22" s="149" t="s">
        <v>898</v>
      </c>
      <c r="P22" s="149" t="s">
        <v>898</v>
      </c>
    </row>
    <row r="23" spans="2:16" s="219" customFormat="1">
      <c r="B23" s="146" t="s">
        <v>899</v>
      </c>
      <c r="C23" s="149">
        <v>582.59083380000004</v>
      </c>
      <c r="D23" s="149">
        <v>466.07266704000006</v>
      </c>
      <c r="E23" s="149">
        <v>305.86018774500002</v>
      </c>
      <c r="F23" s="149">
        <v>218.47156267500003</v>
      </c>
      <c r="G23" s="149">
        <v>174.77725014000001</v>
      </c>
      <c r="H23" s="149" t="s">
        <v>898</v>
      </c>
      <c r="I23" s="149" t="s">
        <v>898</v>
      </c>
      <c r="J23" s="149" t="s">
        <v>898</v>
      </c>
      <c r="K23" s="149" t="s">
        <v>898</v>
      </c>
      <c r="L23" s="149" t="s">
        <v>898</v>
      </c>
      <c r="M23" s="149" t="s">
        <v>898</v>
      </c>
      <c r="N23" s="149" t="s">
        <v>898</v>
      </c>
      <c r="O23" s="149" t="s">
        <v>898</v>
      </c>
      <c r="P23" s="149" t="s">
        <v>898</v>
      </c>
    </row>
    <row r="24" spans="2:16" s="219" customFormat="1">
      <c r="B24" s="146" t="s">
        <v>785</v>
      </c>
      <c r="C24" s="149">
        <v>815.62716732000013</v>
      </c>
      <c r="D24" s="149">
        <v>629.19810050400008</v>
      </c>
      <c r="E24" s="149">
        <v>380.14051905449998</v>
      </c>
      <c r="F24" s="149">
        <v>254.88348978749997</v>
      </c>
      <c r="G24" s="149">
        <v>161.3776609626</v>
      </c>
      <c r="H24" s="149">
        <v>113.79940953560001</v>
      </c>
      <c r="I24" s="149">
        <v>83.504686178000014</v>
      </c>
      <c r="J24" s="149">
        <v>69.910900056000003</v>
      </c>
      <c r="K24" s="149" t="s">
        <v>898</v>
      </c>
      <c r="L24" s="149" t="s">
        <v>898</v>
      </c>
      <c r="M24" s="149" t="s">
        <v>898</v>
      </c>
      <c r="N24" s="149" t="s">
        <v>898</v>
      </c>
      <c r="O24" s="149" t="s">
        <v>898</v>
      </c>
      <c r="P24" s="149" t="s">
        <v>898</v>
      </c>
    </row>
    <row r="25" spans="2:16" s="219" customFormat="1">
      <c r="B25" s="146" t="s">
        <v>900</v>
      </c>
      <c r="C25" s="149">
        <v>1165.1816676000001</v>
      </c>
      <c r="D25" s="149">
        <v>908.84170072800009</v>
      </c>
      <c r="E25" s="149">
        <v>568.02606295500004</v>
      </c>
      <c r="F25" s="149">
        <v>399.07472115300004</v>
      </c>
      <c r="G25" s="149">
        <v>269.15696521560005</v>
      </c>
      <c r="H25" s="149">
        <v>208.95591238960003</v>
      </c>
      <c r="I25" s="149">
        <v>167.00937235600003</v>
      </c>
      <c r="J25" s="149">
        <v>219.34544892570003</v>
      </c>
      <c r="K25" s="149">
        <v>250.10624495034003</v>
      </c>
      <c r="L25" s="149">
        <v>195.75052015680001</v>
      </c>
      <c r="M25" s="149">
        <v>184.56477614784001</v>
      </c>
      <c r="N25" s="149">
        <v>173.37903213888001</v>
      </c>
      <c r="O25" s="149">
        <v>167.78616013440001</v>
      </c>
      <c r="P25" s="149" t="s">
        <v>898</v>
      </c>
    </row>
    <row r="26" spans="2:16" s="219" customFormat="1">
      <c r="B26" s="146" t="s">
        <v>901</v>
      </c>
      <c r="C26" s="149">
        <v>1631.2543346400003</v>
      </c>
      <c r="D26" s="149">
        <v>1258.3962010080002</v>
      </c>
      <c r="E26" s="149">
        <v>773.38933186949998</v>
      </c>
      <c r="F26" s="149">
        <v>549.09186085649992</v>
      </c>
      <c r="G26" s="149">
        <v>404.90062949100002</v>
      </c>
      <c r="H26" s="149">
        <v>345.67056138800001</v>
      </c>
      <c r="I26" s="149">
        <v>281.58556967000004</v>
      </c>
      <c r="J26" s="149">
        <v>329.89205963924996</v>
      </c>
      <c r="K26" s="149">
        <v>404.17239094874992</v>
      </c>
      <c r="L26" s="149">
        <v>382.32523468124998</v>
      </c>
      <c r="M26" s="149">
        <v>360.47807841374993</v>
      </c>
      <c r="N26" s="149">
        <v>338.63092214624999</v>
      </c>
      <c r="O26" s="149">
        <v>340.96128548144998</v>
      </c>
      <c r="P26" s="149">
        <v>354.21522695039999</v>
      </c>
    </row>
    <row r="27" spans="2:16" s="219" customFormat="1">
      <c r="B27" s="146" t="s">
        <v>902</v>
      </c>
      <c r="C27" s="149">
        <v>2796.4360022400001</v>
      </c>
      <c r="D27" s="149">
        <v>2097.3270016800002</v>
      </c>
      <c r="E27" s="149">
        <v>1223.4407509800001</v>
      </c>
      <c r="F27" s="149">
        <v>873.88625070000012</v>
      </c>
      <c r="G27" s="149">
        <v>629.19810050399997</v>
      </c>
      <c r="H27" s="149">
        <v>512.67993374399998</v>
      </c>
      <c r="I27" s="149">
        <v>407.81358366000001</v>
      </c>
      <c r="J27" s="149">
        <v>506.85402540600001</v>
      </c>
      <c r="K27" s="149">
        <v>646.67582551800001</v>
      </c>
      <c r="L27" s="149">
        <v>611.72037549000004</v>
      </c>
      <c r="M27" s="149">
        <v>576.76492546200006</v>
      </c>
      <c r="N27" s="149">
        <v>541.80947543399998</v>
      </c>
      <c r="O27" s="149">
        <v>527.82729542280003</v>
      </c>
      <c r="P27" s="149">
        <v>531.32284042560002</v>
      </c>
    </row>
    <row r="29" spans="2:16" s="219" customFormat="1" ht="13">
      <c r="B29" s="230" t="s">
        <v>904</v>
      </c>
    </row>
    <row r="30" spans="2:16" s="219" customFormat="1" ht="13" customHeight="1">
      <c r="B30" s="223" t="s">
        <v>141</v>
      </c>
      <c r="C30" s="368" t="s">
        <v>785</v>
      </c>
    </row>
    <row r="31" spans="2:16" s="219" customFormat="1">
      <c r="B31" s="146" t="s">
        <v>905</v>
      </c>
      <c r="C31" s="147">
        <v>1.6093</v>
      </c>
      <c r="D31" s="219" t="s">
        <v>906</v>
      </c>
    </row>
    <row r="32" spans="2:16" s="219" customFormat="1">
      <c r="B32" s="146" t="s">
        <v>907</v>
      </c>
      <c r="C32" s="147">
        <v>3.2491680000000001</v>
      </c>
      <c r="D32" s="219" t="s">
        <v>299</v>
      </c>
    </row>
    <row r="33" spans="2:9" s="219" customFormat="1">
      <c r="B33" s="146" t="s">
        <v>908</v>
      </c>
      <c r="C33" s="147">
        <v>3.2491680000000001</v>
      </c>
      <c r="D33" s="219" t="s">
        <v>299</v>
      </c>
    </row>
    <row r="34" spans="2:9" s="219" customFormat="1">
      <c r="B34" s="146" t="s">
        <v>909</v>
      </c>
      <c r="C34" s="147">
        <v>10.557092692224</v>
      </c>
      <c r="D34" s="219" t="s">
        <v>274</v>
      </c>
    </row>
    <row r="35" spans="2:9" s="219" customFormat="1">
      <c r="B35" s="146" t="s">
        <v>910</v>
      </c>
      <c r="C35" s="147">
        <v>0.8</v>
      </c>
      <c r="D35" s="219" t="s">
        <v>299</v>
      </c>
    </row>
    <row r="36" spans="2:9" s="219" customFormat="1">
      <c r="B36" s="146" t="s">
        <v>911</v>
      </c>
      <c r="C36" s="147">
        <v>8.4456741537791995</v>
      </c>
      <c r="D36" s="219" t="s">
        <v>302</v>
      </c>
    </row>
    <row r="37" spans="2:9" s="219" customFormat="1">
      <c r="B37" s="146" t="s">
        <v>912</v>
      </c>
      <c r="C37" s="149">
        <v>947.23048205929501</v>
      </c>
      <c r="D37" s="219" t="s">
        <v>913</v>
      </c>
    </row>
    <row r="38" spans="2:9" s="219" customFormat="1">
      <c r="B38" s="146" t="s">
        <v>914</v>
      </c>
      <c r="C38" s="147">
        <v>1.9124532224766271</v>
      </c>
      <c r="D38" s="219" t="s">
        <v>915</v>
      </c>
    </row>
    <row r="40" spans="2:9" s="219" customFormat="1" ht="13">
      <c r="B40" s="230" t="s">
        <v>916</v>
      </c>
    </row>
    <row r="41" spans="2:9" s="219" customFormat="1">
      <c r="B41" s="146" t="s">
        <v>917</v>
      </c>
      <c r="C41" s="147">
        <v>0.2</v>
      </c>
      <c r="D41" s="219" t="s">
        <v>906</v>
      </c>
      <c r="E41" s="219">
        <v>4</v>
      </c>
      <c r="F41" s="219" t="s">
        <v>918</v>
      </c>
      <c r="H41" s="388">
        <v>50</v>
      </c>
      <c r="I41" s="219" t="s">
        <v>919</v>
      </c>
    </row>
    <row r="42" spans="2:9" s="219" customFormat="1">
      <c r="B42" s="146" t="s">
        <v>920</v>
      </c>
      <c r="C42" s="147">
        <v>0.45</v>
      </c>
      <c r="D42" s="219" t="s">
        <v>906</v>
      </c>
      <c r="E42" s="219" t="s">
        <v>921</v>
      </c>
    </row>
    <row r="43" spans="2:9" s="219" customFormat="1">
      <c r="B43" s="146" t="s">
        <v>922</v>
      </c>
      <c r="C43" s="147">
        <v>0.1</v>
      </c>
      <c r="D43" s="219" t="s">
        <v>906</v>
      </c>
      <c r="E43" s="219" t="s">
        <v>921</v>
      </c>
    </row>
    <row r="44" spans="2:9" s="219" customFormat="1">
      <c r="B44" s="146" t="s">
        <v>923</v>
      </c>
      <c r="C44" s="147">
        <v>0.45</v>
      </c>
      <c r="D44" s="219" t="s">
        <v>906</v>
      </c>
      <c r="E44" s="219" t="s">
        <v>921</v>
      </c>
    </row>
    <row r="45" spans="2:9" s="219" customFormat="1">
      <c r="B45" s="146" t="s">
        <v>924</v>
      </c>
      <c r="C45" s="147">
        <v>0.1</v>
      </c>
      <c r="D45" s="219" t="s">
        <v>906</v>
      </c>
      <c r="E45" s="219" t="s">
        <v>921</v>
      </c>
    </row>
    <row r="46" spans="2:9" s="219" customFormat="1">
      <c r="B46" s="146" t="s">
        <v>925</v>
      </c>
      <c r="C46" s="147">
        <v>2</v>
      </c>
      <c r="D46" s="219" t="s">
        <v>906</v>
      </c>
      <c r="E46" s="219" t="s">
        <v>921</v>
      </c>
    </row>
    <row r="47" spans="2:9" s="219" customFormat="1">
      <c r="B47" s="146" t="s">
        <v>926</v>
      </c>
      <c r="C47" s="147">
        <v>0.2</v>
      </c>
      <c r="D47" s="219" t="s">
        <v>906</v>
      </c>
      <c r="E47" s="219" t="s">
        <v>921</v>
      </c>
    </row>
    <row r="48" spans="2:9" s="219" customFormat="1">
      <c r="B48" s="146" t="s">
        <v>927</v>
      </c>
      <c r="C48" s="147">
        <v>0.1</v>
      </c>
      <c r="D48" s="219" t="s">
        <v>906</v>
      </c>
      <c r="E48" s="219" t="s">
        <v>921</v>
      </c>
    </row>
    <row r="50" spans="2:5" s="219" customFormat="1" ht="13">
      <c r="B50" s="230" t="s">
        <v>786</v>
      </c>
    </row>
    <row r="51" spans="2:5" s="219" customFormat="1">
      <c r="B51" s="146" t="s">
        <v>928</v>
      </c>
      <c r="C51" s="150">
        <v>500</v>
      </c>
      <c r="D51" s="219" t="s">
        <v>929</v>
      </c>
    </row>
    <row r="52" spans="2:5" s="219" customFormat="1">
      <c r="B52" s="146" t="s">
        <v>930</v>
      </c>
      <c r="C52" s="150">
        <v>144</v>
      </c>
      <c r="D52" s="219" t="s">
        <v>931</v>
      </c>
    </row>
    <row r="53" spans="2:5" s="219" customFormat="1">
      <c r="B53" s="146" t="s">
        <v>932</v>
      </c>
      <c r="C53" s="150">
        <v>60</v>
      </c>
      <c r="D53" s="219" t="s">
        <v>931</v>
      </c>
    </row>
    <row r="54" spans="2:5" s="219" customFormat="1">
      <c r="B54" s="146" t="s">
        <v>933</v>
      </c>
      <c r="C54" s="150">
        <v>180</v>
      </c>
      <c r="D54" s="219" t="s">
        <v>931</v>
      </c>
    </row>
    <row r="55" spans="2:5" s="219" customFormat="1">
      <c r="B55" s="146" t="s">
        <v>934</v>
      </c>
      <c r="C55" s="150">
        <v>686.99999999999989</v>
      </c>
      <c r="D55" s="219" t="s">
        <v>931</v>
      </c>
    </row>
    <row r="56" spans="2:5" s="219" customFormat="1">
      <c r="B56" s="146" t="s">
        <v>935</v>
      </c>
      <c r="C56" s="150">
        <v>1</v>
      </c>
      <c r="D56" s="219" t="s">
        <v>891</v>
      </c>
    </row>
    <row r="57" spans="2:5" s="219" customFormat="1">
      <c r="B57" s="146" t="s">
        <v>936</v>
      </c>
      <c r="C57" s="150">
        <v>500</v>
      </c>
      <c r="D57" s="219" t="s">
        <v>929</v>
      </c>
    </row>
    <row r="58" spans="2:5" s="219" customFormat="1">
      <c r="B58" s="146" t="s">
        <v>937</v>
      </c>
      <c r="C58" s="150">
        <v>50</v>
      </c>
      <c r="D58" s="219" t="s">
        <v>938</v>
      </c>
      <c r="E58" s="219" t="s">
        <v>939</v>
      </c>
    </row>
    <row r="60" spans="2:5" s="219" customFormat="1" ht="13">
      <c r="B60" s="230" t="s">
        <v>940</v>
      </c>
    </row>
    <row r="61" spans="2:5" s="219" customFormat="1" ht="25">
      <c r="B61" s="223" t="s">
        <v>141</v>
      </c>
      <c r="C61" s="368" t="s">
        <v>804</v>
      </c>
      <c r="D61" s="368" t="s">
        <v>806</v>
      </c>
    </row>
    <row r="62" spans="2:5" s="219" customFormat="1">
      <c r="B62" s="146" t="s">
        <v>941</v>
      </c>
      <c r="C62" s="147">
        <v>5</v>
      </c>
      <c r="D62" s="147">
        <v>5</v>
      </c>
      <c r="E62" s="219" t="s">
        <v>906</v>
      </c>
    </row>
    <row r="63" spans="2:5" s="219" customFormat="1">
      <c r="B63" s="146" t="s">
        <v>942</v>
      </c>
      <c r="C63" s="147">
        <v>3.17</v>
      </c>
      <c r="D63" s="147">
        <v>3.17</v>
      </c>
      <c r="E63" s="219" t="s">
        <v>299</v>
      </c>
    </row>
    <row r="64" spans="2:5" s="219" customFormat="1">
      <c r="B64" s="146" t="s">
        <v>943</v>
      </c>
      <c r="C64" s="147">
        <v>0.6</v>
      </c>
      <c r="D64" s="147">
        <v>0.6</v>
      </c>
      <c r="E64" s="219" t="s">
        <v>299</v>
      </c>
    </row>
    <row r="65" spans="2:5" s="219" customFormat="1">
      <c r="B65" s="146" t="s">
        <v>944</v>
      </c>
      <c r="C65" s="151">
        <v>0.85</v>
      </c>
      <c r="D65" s="151">
        <v>0.85</v>
      </c>
      <c r="E65" s="219" t="s">
        <v>945</v>
      </c>
    </row>
    <row r="66" spans="2:5" s="219" customFormat="1" ht="13">
      <c r="B66" s="146" t="s">
        <v>946</v>
      </c>
      <c r="C66" s="152">
        <v>10922.5</v>
      </c>
      <c r="D66" s="152">
        <v>10922.5</v>
      </c>
      <c r="E66" s="219" t="s">
        <v>931</v>
      </c>
    </row>
    <row r="67" spans="2:5" s="219" customFormat="1" ht="13">
      <c r="B67" s="146"/>
      <c r="C67" s="153">
        <v>1.0922499999999999</v>
      </c>
      <c r="D67" s="153">
        <v>1.0922499999999999</v>
      </c>
      <c r="E67" s="219" t="s">
        <v>947</v>
      </c>
    </row>
    <row r="68" spans="2:5" s="219" customFormat="1" ht="13">
      <c r="B68" s="146"/>
      <c r="C68" s="153">
        <v>0.91554131380178538</v>
      </c>
      <c r="D68" s="153">
        <v>0.91554131380178538</v>
      </c>
      <c r="E68" s="219" t="s">
        <v>915</v>
      </c>
    </row>
    <row r="70" spans="2:5" s="219" customFormat="1" ht="13">
      <c r="B70" s="230" t="s">
        <v>948</v>
      </c>
    </row>
    <row r="71" spans="2:5" s="219" customFormat="1" ht="11.5" customHeight="1">
      <c r="B71" s="223" t="s">
        <v>141</v>
      </c>
      <c r="C71" s="219" t="s">
        <v>804</v>
      </c>
      <c r="D71" s="219" t="s">
        <v>806</v>
      </c>
    </row>
    <row r="72" spans="2:5" s="219" customFormat="1">
      <c r="B72" s="146" t="s">
        <v>949</v>
      </c>
      <c r="C72" s="147">
        <v>4.0999999999999996</v>
      </c>
      <c r="D72" s="147">
        <v>4.0999999999999996</v>
      </c>
      <c r="E72" s="219" t="s">
        <v>906</v>
      </c>
    </row>
    <row r="73" spans="2:5" s="219" customFormat="1">
      <c r="B73" s="146" t="s">
        <v>950</v>
      </c>
      <c r="C73" s="147">
        <v>2.31</v>
      </c>
      <c r="D73" s="147">
        <v>2.5950000000000002</v>
      </c>
      <c r="E73" s="219" t="s">
        <v>299</v>
      </c>
    </row>
    <row r="74" spans="2:5" s="219" customFormat="1">
      <c r="B74" s="146" t="s">
        <v>908</v>
      </c>
      <c r="C74" s="149">
        <v>100</v>
      </c>
      <c r="D74" s="149">
        <v>100</v>
      </c>
      <c r="E74" s="219" t="s">
        <v>299</v>
      </c>
    </row>
    <row r="75" spans="2:5" s="219" customFormat="1">
      <c r="B75" s="146" t="s">
        <v>951</v>
      </c>
      <c r="C75" s="149">
        <v>100</v>
      </c>
      <c r="D75" s="149">
        <v>100</v>
      </c>
      <c r="E75" s="219" t="s">
        <v>299</v>
      </c>
    </row>
    <row r="76" spans="2:5" s="219" customFormat="1">
      <c r="B76" s="146" t="s">
        <v>910</v>
      </c>
      <c r="C76" s="147">
        <v>0.26700000000000002</v>
      </c>
      <c r="D76" s="147">
        <v>0.40400000000000003</v>
      </c>
      <c r="E76" s="219" t="s">
        <v>299</v>
      </c>
    </row>
    <row r="77" spans="2:5" s="219" customFormat="1">
      <c r="B77" s="146" t="s">
        <v>911</v>
      </c>
      <c r="C77" s="149">
        <v>61.677000000000007</v>
      </c>
      <c r="D77" s="149">
        <v>104.83800000000001</v>
      </c>
      <c r="E77" s="219" t="s">
        <v>302</v>
      </c>
    </row>
    <row r="78" spans="2:5" s="219" customFormat="1">
      <c r="B78" s="146" t="s">
        <v>952</v>
      </c>
      <c r="C78" s="149">
        <v>43.290043290043286</v>
      </c>
      <c r="D78" s="149">
        <v>38.535645472061653</v>
      </c>
      <c r="E78" s="219" t="s">
        <v>913</v>
      </c>
    </row>
    <row r="79" spans="2:5" s="219" customFormat="1" ht="13">
      <c r="B79" s="146" t="s">
        <v>946</v>
      </c>
      <c r="C79" s="153">
        <v>1.0558547143912997</v>
      </c>
      <c r="D79" s="153">
        <v>0.93989379200150369</v>
      </c>
      <c r="E79" s="219" t="s">
        <v>915</v>
      </c>
    </row>
    <row r="80" spans="2:5" s="219" customFormat="1" ht="13">
      <c r="B80" s="146"/>
      <c r="C80" s="153">
        <v>0.94710000000000005</v>
      </c>
      <c r="D80" s="153">
        <v>1.0639500000000002</v>
      </c>
      <c r="E80" s="219" t="s">
        <v>947</v>
      </c>
    </row>
    <row r="82" spans="2:6" s="219" customFormat="1" ht="13">
      <c r="B82" s="230" t="s">
        <v>953</v>
      </c>
    </row>
    <row r="83" spans="2:6" s="219" customFormat="1">
      <c r="B83" s="146" t="s">
        <v>954</v>
      </c>
      <c r="C83" s="150">
        <v>7.5</v>
      </c>
      <c r="D83" s="219" t="s">
        <v>955</v>
      </c>
      <c r="E83" s="150">
        <v>0.75</v>
      </c>
      <c r="F83" s="219" t="s">
        <v>956</v>
      </c>
    </row>
    <row r="84" spans="2:6" s="219" customFormat="1">
      <c r="B84" s="146" t="s">
        <v>957</v>
      </c>
      <c r="C84" s="150">
        <v>1.5</v>
      </c>
      <c r="D84" s="219" t="s">
        <v>955</v>
      </c>
      <c r="E84" s="150">
        <v>0.15</v>
      </c>
      <c r="F84" s="219" t="s">
        <v>956</v>
      </c>
    </row>
    <row r="85" spans="2:6" s="219" customFormat="1">
      <c r="B85" s="146" t="s">
        <v>958</v>
      </c>
      <c r="C85" s="150">
        <v>0.95</v>
      </c>
      <c r="D85" s="219" t="s">
        <v>955</v>
      </c>
      <c r="E85" s="150">
        <v>9.5000000000000001E-2</v>
      </c>
      <c r="F85" s="219" t="s">
        <v>956</v>
      </c>
    </row>
    <row r="86" spans="2:6" s="219" customFormat="1">
      <c r="B86" s="146" t="s">
        <v>959</v>
      </c>
      <c r="C86" s="150">
        <v>0.75</v>
      </c>
      <c r="D86" s="219" t="s">
        <v>955</v>
      </c>
      <c r="E86" s="150">
        <v>7.4999999999999997E-2</v>
      </c>
      <c r="F86" s="219" t="s">
        <v>956</v>
      </c>
    </row>
    <row r="88" spans="2:6" s="219" customFormat="1" ht="13">
      <c r="B88" s="230" t="s">
        <v>852</v>
      </c>
    </row>
    <row r="89" spans="2:6" s="219" customFormat="1">
      <c r="B89" s="146" t="s">
        <v>960</v>
      </c>
      <c r="C89" s="150">
        <v>80</v>
      </c>
      <c r="D89" s="219" t="s">
        <v>906</v>
      </c>
    </row>
    <row r="90" spans="2:6" s="219" customFormat="1">
      <c r="B90" s="146" t="s">
        <v>961</v>
      </c>
      <c r="C90" s="150">
        <v>90</v>
      </c>
      <c r="D90" s="219" t="s">
        <v>906</v>
      </c>
    </row>
    <row r="91" spans="2:6" s="219" customFormat="1">
      <c r="B91" s="146" t="s">
        <v>962</v>
      </c>
      <c r="C91" s="150">
        <v>40</v>
      </c>
      <c r="D91" s="219" t="s">
        <v>906</v>
      </c>
    </row>
    <row r="92" spans="2:6" s="219" customFormat="1">
      <c r="B92" s="146" t="s">
        <v>963</v>
      </c>
      <c r="C92" s="150">
        <v>50</v>
      </c>
      <c r="D92" s="219" t="s">
        <v>906</v>
      </c>
    </row>
    <row r="93" spans="2:6" s="219" customFormat="1">
      <c r="B93" s="146" t="s">
        <v>964</v>
      </c>
      <c r="C93" s="150">
        <v>50</v>
      </c>
      <c r="D93" s="219" t="s">
        <v>302</v>
      </c>
      <c r="E93" s="154" t="s">
        <v>965</v>
      </c>
    </row>
    <row r="94" spans="2:6" s="219" customFormat="1">
      <c r="B94" s="146" t="s">
        <v>966</v>
      </c>
      <c r="C94" s="150">
        <v>24</v>
      </c>
      <c r="D94" s="219" t="s">
        <v>318</v>
      </c>
    </row>
    <row r="95" spans="2:6" s="219" customFormat="1">
      <c r="B95" s="146" t="s">
        <v>967</v>
      </c>
      <c r="C95" s="150">
        <v>10</v>
      </c>
      <c r="D95" s="219" t="s">
        <v>302</v>
      </c>
      <c r="E95" s="219" t="s">
        <v>968</v>
      </c>
    </row>
    <row r="96" spans="2:6" s="219" customFormat="1">
      <c r="B96" s="146" t="s">
        <v>969</v>
      </c>
      <c r="C96" s="149">
        <v>500</v>
      </c>
      <c r="D96" s="219" t="s">
        <v>206</v>
      </c>
    </row>
    <row r="97" spans="2:5" s="219" customFormat="1">
      <c r="B97" s="146" t="s">
        <v>970</v>
      </c>
      <c r="C97" s="149">
        <v>1</v>
      </c>
      <c r="D97" s="219" t="s">
        <v>458</v>
      </c>
    </row>
    <row r="98" spans="2:5" s="219" customFormat="1">
      <c r="B98" s="146" t="s">
        <v>971</v>
      </c>
      <c r="C98" s="149">
        <v>2</v>
      </c>
      <c r="D98" s="219" t="s">
        <v>473</v>
      </c>
    </row>
    <row r="99" spans="2:5" s="219" customFormat="1">
      <c r="B99" s="146" t="s">
        <v>972</v>
      </c>
      <c r="C99" s="149">
        <v>1</v>
      </c>
      <c r="D99" s="219" t="s">
        <v>187</v>
      </c>
    </row>
    <row r="100" spans="2:5" s="219" customFormat="1">
      <c r="B100" s="146" t="s">
        <v>973</v>
      </c>
      <c r="C100" s="149">
        <v>7</v>
      </c>
      <c r="D100" s="219" t="s">
        <v>974</v>
      </c>
      <c r="E100" s="244" t="s">
        <v>975</v>
      </c>
    </row>
  </sheetData>
  <sheetProtection algorithmName="SHA-512" hashValue="Hai5CWT+sE/DWIVZ6B1fbbc4Qa15WEfEqa+RJM05I1Hw1BcAH3lHi/K7HJQ1urv3bode0dVa9uBxBWRLxVlgbQ==" saltValue="SWG29QNIoWXWV4X200Mnsg==" spinCount="100000" sheet="1" objects="1" scenarios="1" autoFilter="0"/>
  <hyperlinks>
    <hyperlink ref="B5" location="Information" display="Return to Information" xr:uid="{E5D34010-D3B2-4F26-9DD6-C7B0545E80D8}"/>
    <hyperlink ref="E93" r:id="rId1" xr:uid="{2058B89E-11B2-4858-92BE-BAB4576F830B}"/>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7BDCF-3B1F-452C-92A1-C749C73F1F04}">
  <sheetPr codeName="Sheet13">
    <tabColor theme="5" tint="0.39997558519241921"/>
  </sheetPr>
  <dimension ref="A2:H170"/>
  <sheetViews>
    <sheetView showGridLines="0" zoomScaleNormal="100" workbookViewId="0">
      <pane ySplit="7" topLeftCell="A8" activePane="bottomLeft" state="frozen"/>
      <selection pane="bottomLeft"/>
    </sheetView>
  </sheetViews>
  <sheetFormatPr defaultColWidth="8.7265625" defaultRowHeight="12.5"/>
  <cols>
    <col min="1" max="1" width="11" style="372" customWidth="1"/>
    <col min="2" max="2" width="49.1796875" style="244" customWidth="1"/>
    <col min="3" max="3" width="12" style="244" customWidth="1"/>
    <col min="4" max="5" width="11.54296875" style="372" customWidth="1"/>
    <col min="6" max="6" width="8.453125" style="244" customWidth="1"/>
    <col min="7" max="7" width="75.81640625" style="244" customWidth="1"/>
    <col min="8" max="8" width="68" style="244" customWidth="1"/>
    <col min="9" max="9" width="11.453125" style="244" bestFit="1" customWidth="1"/>
    <col min="10" max="10" width="13.81640625" style="244" bestFit="1" customWidth="1"/>
    <col min="11" max="11" width="8.54296875" style="244" bestFit="1" customWidth="1"/>
    <col min="12" max="16377" width="8.7265625" style="244"/>
    <col min="16378" max="16384" width="8.7265625" style="244" bestFit="1"/>
  </cols>
  <sheetData>
    <row r="2" spans="1:8" ht="13">
      <c r="B2" s="243" t="str">
        <f>Project_Name</f>
        <v xml:space="preserve">South Australia Hydrogen and Renewable Energy Restoration Cost Estimation Tool </v>
      </c>
      <c r="C2" s="243"/>
      <c r="D2" s="389"/>
      <c r="E2" s="244"/>
    </row>
    <row r="3" spans="1:8">
      <c r="E3" s="244"/>
    </row>
    <row r="4" spans="1:8" ht="13">
      <c r="B4" s="375" t="s">
        <v>29</v>
      </c>
      <c r="C4" s="375"/>
      <c r="D4" s="247"/>
      <c r="E4" s="376"/>
      <c r="F4" s="376"/>
      <c r="G4" s="376"/>
      <c r="H4" s="376"/>
    </row>
    <row r="5" spans="1:8">
      <c r="B5" s="5" t="s">
        <v>47</v>
      </c>
      <c r="E5" s="244"/>
    </row>
    <row r="6" spans="1:8" ht="26.5" customHeight="1">
      <c r="B6" s="380" t="s">
        <v>976</v>
      </c>
      <c r="C6" s="390" t="s">
        <v>400</v>
      </c>
      <c r="D6" s="268" t="s">
        <v>977</v>
      </c>
      <c r="E6" s="390" t="s">
        <v>978</v>
      </c>
      <c r="F6" s="380" t="s">
        <v>82</v>
      </c>
      <c r="G6" s="380" t="s">
        <v>729</v>
      </c>
      <c r="H6" s="380" t="s">
        <v>730</v>
      </c>
    </row>
    <row r="7" spans="1:8" ht="5.25" customHeight="1">
      <c r="B7" s="391"/>
      <c r="C7" s="391"/>
      <c r="D7" s="391"/>
      <c r="E7" s="391"/>
      <c r="F7" s="391"/>
      <c r="G7" s="391"/>
      <c r="H7" s="391"/>
    </row>
    <row r="8" spans="1:8" ht="13">
      <c r="B8" s="265" t="s">
        <v>256</v>
      </c>
      <c r="C8" s="265"/>
      <c r="D8" s="264"/>
    </row>
    <row r="9" spans="1:8">
      <c r="A9" s="317" t="s">
        <v>1231</v>
      </c>
      <c r="B9" s="38" t="s">
        <v>260</v>
      </c>
      <c r="C9" s="392">
        <v>30</v>
      </c>
      <c r="D9" s="163"/>
      <c r="E9" s="393">
        <v>30</v>
      </c>
      <c r="F9" s="394" t="s">
        <v>299</v>
      </c>
      <c r="G9" s="155"/>
      <c r="H9" s="145"/>
    </row>
    <row r="10" spans="1:8">
      <c r="A10" s="317" t="s">
        <v>1232</v>
      </c>
      <c r="B10" s="38" t="s">
        <v>258</v>
      </c>
      <c r="C10" s="392">
        <v>30</v>
      </c>
      <c r="D10" s="163"/>
      <c r="E10" s="393">
        <v>30</v>
      </c>
      <c r="F10" s="394" t="s">
        <v>299</v>
      </c>
      <c r="G10" s="155"/>
      <c r="H10" s="145"/>
    </row>
    <row r="11" spans="1:8">
      <c r="A11" s="317" t="s">
        <v>1233</v>
      </c>
      <c r="B11" s="38" t="s">
        <v>1343</v>
      </c>
      <c r="C11" s="392">
        <v>30</v>
      </c>
      <c r="D11" s="163"/>
      <c r="E11" s="393">
        <v>30</v>
      </c>
      <c r="F11" s="394" t="s">
        <v>299</v>
      </c>
      <c r="G11" s="155"/>
      <c r="H11" s="145"/>
    </row>
    <row r="12" spans="1:8">
      <c r="A12" s="317" t="s">
        <v>1231</v>
      </c>
      <c r="B12" s="38" t="s">
        <v>979</v>
      </c>
      <c r="C12" s="392">
        <v>0</v>
      </c>
      <c r="D12" s="163"/>
      <c r="E12" s="393">
        <v>0</v>
      </c>
      <c r="F12" s="394" t="s">
        <v>299</v>
      </c>
      <c r="G12" s="155"/>
      <c r="H12" s="145"/>
    </row>
    <row r="13" spans="1:8">
      <c r="A13" s="317" t="s">
        <v>1232</v>
      </c>
      <c r="B13" s="38" t="s">
        <v>980</v>
      </c>
      <c r="C13" s="392">
        <v>0.3</v>
      </c>
      <c r="D13" s="163"/>
      <c r="E13" s="393">
        <v>0.3</v>
      </c>
      <c r="F13" s="394" t="s">
        <v>299</v>
      </c>
      <c r="G13" s="155"/>
      <c r="H13" s="145"/>
    </row>
    <row r="14" spans="1:8">
      <c r="A14" s="317" t="s">
        <v>1233</v>
      </c>
      <c r="B14" s="38" t="s">
        <v>981</v>
      </c>
      <c r="C14" s="392">
        <v>0.5</v>
      </c>
      <c r="D14" s="163"/>
      <c r="E14" s="393">
        <v>0.5</v>
      </c>
      <c r="F14" s="394" t="s">
        <v>299</v>
      </c>
      <c r="G14" s="155"/>
      <c r="H14" s="145"/>
    </row>
    <row r="15" spans="1:8">
      <c r="D15" s="244"/>
      <c r="E15" s="244"/>
    </row>
    <row r="16" spans="1:8" ht="13">
      <c r="B16" s="265" t="s">
        <v>982</v>
      </c>
      <c r="C16" s="372"/>
      <c r="F16" s="372"/>
    </row>
    <row r="17" spans="2:8">
      <c r="B17" s="38" t="s">
        <v>983</v>
      </c>
      <c r="C17" s="395">
        <v>60</v>
      </c>
      <c r="D17" s="164"/>
      <c r="E17" s="396">
        <v>60</v>
      </c>
      <c r="F17" s="394" t="s">
        <v>984</v>
      </c>
      <c r="G17" s="155"/>
      <c r="H17" s="145"/>
    </row>
    <row r="18" spans="2:8">
      <c r="B18" s="38" t="s">
        <v>985</v>
      </c>
      <c r="C18" s="397">
        <v>1000</v>
      </c>
      <c r="D18" s="164"/>
      <c r="E18" s="396">
        <v>1000</v>
      </c>
      <c r="F18" s="394" t="s">
        <v>986</v>
      </c>
      <c r="G18" s="155"/>
      <c r="H18" s="145"/>
    </row>
    <row r="19" spans="2:8">
      <c r="B19" s="38" t="s">
        <v>987</v>
      </c>
      <c r="C19" s="397">
        <v>1000</v>
      </c>
      <c r="D19" s="164"/>
      <c r="E19" s="396">
        <v>1000</v>
      </c>
      <c r="F19" s="394" t="s">
        <v>988</v>
      </c>
      <c r="G19" s="155"/>
      <c r="H19" s="145"/>
    </row>
    <row r="20" spans="2:8">
      <c r="B20" s="38" t="s">
        <v>989</v>
      </c>
      <c r="C20" s="397">
        <v>10000</v>
      </c>
      <c r="D20" s="164"/>
      <c r="E20" s="396">
        <v>10000</v>
      </c>
      <c r="F20" s="394" t="s">
        <v>990</v>
      </c>
      <c r="G20" s="155"/>
      <c r="H20" s="145"/>
    </row>
    <row r="21" spans="2:8">
      <c r="B21" s="15" t="s">
        <v>991</v>
      </c>
      <c r="C21" s="397">
        <v>1000</v>
      </c>
      <c r="D21" s="164"/>
      <c r="E21" s="396">
        <v>1000</v>
      </c>
      <c r="F21" s="394" t="s">
        <v>992</v>
      </c>
      <c r="G21" s="155"/>
      <c r="H21" s="145"/>
    </row>
    <row r="22" spans="2:8">
      <c r="B22" s="15" t="s">
        <v>993</v>
      </c>
      <c r="C22" s="397">
        <v>1000</v>
      </c>
      <c r="D22" s="164"/>
      <c r="E22" s="396">
        <v>1000</v>
      </c>
      <c r="F22" s="394" t="s">
        <v>994</v>
      </c>
      <c r="G22" s="155"/>
      <c r="H22" s="145"/>
    </row>
    <row r="23" spans="2:8">
      <c r="B23" s="15" t="s">
        <v>995</v>
      </c>
      <c r="C23" s="397">
        <v>1000</v>
      </c>
      <c r="D23" s="164"/>
      <c r="E23" s="396">
        <v>1000</v>
      </c>
      <c r="F23" s="394" t="s">
        <v>996</v>
      </c>
      <c r="G23" s="155"/>
      <c r="H23" s="145"/>
    </row>
    <row r="24" spans="2:8">
      <c r="B24" s="15" t="s">
        <v>997</v>
      </c>
      <c r="C24" s="397">
        <v>17</v>
      </c>
      <c r="D24" s="164"/>
      <c r="E24" s="396">
        <v>17</v>
      </c>
      <c r="F24" s="394" t="s">
        <v>998</v>
      </c>
      <c r="G24" s="155"/>
      <c r="H24" s="145"/>
    </row>
    <row r="25" spans="2:8">
      <c r="D25" s="244"/>
      <c r="E25" s="244"/>
    </row>
    <row r="26" spans="2:8" ht="13">
      <c r="B26" s="265" t="s">
        <v>999</v>
      </c>
      <c r="D26" s="244"/>
      <c r="E26" s="244"/>
    </row>
    <row r="27" spans="2:8">
      <c r="B27" s="38" t="s">
        <v>1000</v>
      </c>
      <c r="C27" s="398">
        <v>2.5</v>
      </c>
      <c r="D27" s="163"/>
      <c r="E27" s="399">
        <v>2.5</v>
      </c>
      <c r="F27" s="394" t="s">
        <v>1001</v>
      </c>
      <c r="G27" s="155" t="s">
        <v>1002</v>
      </c>
      <c r="H27" s="145"/>
    </row>
    <row r="28" spans="2:8">
      <c r="B28" s="38" t="s">
        <v>1003</v>
      </c>
      <c r="C28" s="398">
        <v>0.5</v>
      </c>
      <c r="D28" s="163"/>
      <c r="E28" s="399">
        <v>0.5</v>
      </c>
      <c r="F28" s="394" t="s">
        <v>1001</v>
      </c>
      <c r="G28" s="155" t="s">
        <v>1002</v>
      </c>
      <c r="H28" s="145"/>
    </row>
    <row r="29" spans="2:8">
      <c r="B29" s="38" t="s">
        <v>1004</v>
      </c>
      <c r="C29" s="398">
        <v>0.2</v>
      </c>
      <c r="D29" s="163"/>
      <c r="E29" s="399">
        <v>0.2</v>
      </c>
      <c r="F29" s="394" t="s">
        <v>1001</v>
      </c>
      <c r="G29" s="155" t="s">
        <v>1002</v>
      </c>
      <c r="H29" s="145"/>
    </row>
    <row r="30" spans="2:8">
      <c r="B30" s="38" t="s">
        <v>1005</v>
      </c>
      <c r="C30" s="398">
        <v>1</v>
      </c>
      <c r="D30" s="163"/>
      <c r="E30" s="399">
        <v>1</v>
      </c>
      <c r="F30" s="394" t="s">
        <v>1001</v>
      </c>
      <c r="G30" s="155" t="s">
        <v>1002</v>
      </c>
      <c r="H30" s="145"/>
    </row>
    <row r="31" spans="2:8">
      <c r="B31" s="38" t="s">
        <v>1006</v>
      </c>
      <c r="C31" s="398">
        <v>1.5</v>
      </c>
      <c r="D31" s="163"/>
      <c r="E31" s="399">
        <v>1.5</v>
      </c>
      <c r="F31" s="394" t="s">
        <v>1001</v>
      </c>
      <c r="G31" s="155" t="s">
        <v>1002</v>
      </c>
      <c r="H31" s="145"/>
    </row>
    <row r="32" spans="2:8">
      <c r="B32" s="38" t="s">
        <v>1007</v>
      </c>
      <c r="C32" s="398">
        <v>1.5</v>
      </c>
      <c r="D32" s="163"/>
      <c r="E32" s="399">
        <v>1.5</v>
      </c>
      <c r="F32" s="394" t="s">
        <v>1001</v>
      </c>
      <c r="G32" s="155" t="s">
        <v>1002</v>
      </c>
      <c r="H32" s="145"/>
    </row>
    <row r="33" spans="1:8">
      <c r="D33" s="244"/>
      <c r="E33" s="244"/>
    </row>
    <row r="34" spans="1:8" ht="13">
      <c r="B34" s="265" t="s">
        <v>1008</v>
      </c>
      <c r="D34" s="244"/>
      <c r="E34" s="244"/>
    </row>
    <row r="35" spans="1:8">
      <c r="B35" s="38" t="s">
        <v>156</v>
      </c>
      <c r="C35" s="398">
        <v>6.0999999999999999E-2</v>
      </c>
      <c r="D35" s="163"/>
      <c r="E35" s="399">
        <v>6.0999999999999999E-2</v>
      </c>
      <c r="F35" s="394" t="s">
        <v>1009</v>
      </c>
      <c r="G35" s="155" t="s">
        <v>1010</v>
      </c>
      <c r="H35" s="145"/>
    </row>
    <row r="36" spans="1:8">
      <c r="A36" s="372" t="s">
        <v>1011</v>
      </c>
      <c r="B36" s="38" t="s">
        <v>157</v>
      </c>
      <c r="C36" s="398">
        <v>7.0000000000000007E-2</v>
      </c>
      <c r="D36" s="163"/>
      <c r="E36" s="399">
        <v>7.0000000000000007E-2</v>
      </c>
      <c r="F36" s="394" t="s">
        <v>1009</v>
      </c>
      <c r="G36" s="155" t="s">
        <v>1010</v>
      </c>
      <c r="H36" s="145"/>
    </row>
    <row r="37" spans="1:8">
      <c r="A37" s="400">
        <v>2</v>
      </c>
      <c r="B37" s="38" t="s">
        <v>1309</v>
      </c>
      <c r="C37" s="398">
        <v>0.09</v>
      </c>
      <c r="D37" s="163"/>
      <c r="E37" s="399">
        <v>0.09</v>
      </c>
      <c r="F37" s="394" t="s">
        <v>1009</v>
      </c>
      <c r="G37" s="155" t="s">
        <v>1010</v>
      </c>
      <c r="H37" s="145"/>
    </row>
    <row r="38" spans="1:8">
      <c r="A38" s="400">
        <v>1.75</v>
      </c>
      <c r="B38" s="38" t="s">
        <v>1398</v>
      </c>
      <c r="C38" s="398">
        <v>0.13700000000000001</v>
      </c>
      <c r="D38" s="163"/>
      <c r="E38" s="399">
        <v>0.13700000000000001</v>
      </c>
      <c r="F38" s="394" t="s">
        <v>1009</v>
      </c>
      <c r="G38" s="155" t="s">
        <v>1012</v>
      </c>
      <c r="H38" s="145"/>
    </row>
    <row r="39" spans="1:8">
      <c r="A39" s="400">
        <v>1.05</v>
      </c>
      <c r="B39" s="38" t="s">
        <v>1400</v>
      </c>
      <c r="C39" s="398">
        <v>0.214</v>
      </c>
      <c r="D39" s="163"/>
      <c r="E39" s="399">
        <v>0.214</v>
      </c>
      <c r="F39" s="394" t="s">
        <v>1009</v>
      </c>
      <c r="G39" s="155" t="s">
        <v>1010</v>
      </c>
      <c r="H39" s="145"/>
    </row>
    <row r="40" spans="1:8">
      <c r="A40" s="400">
        <v>0.85</v>
      </c>
      <c r="B40" s="38" t="s">
        <v>159</v>
      </c>
      <c r="C40" s="398">
        <v>0.315</v>
      </c>
      <c r="D40" s="163"/>
      <c r="E40" s="399">
        <v>0.315</v>
      </c>
      <c r="F40" s="394" t="s">
        <v>1009</v>
      </c>
      <c r="G40" s="155" t="s">
        <v>1010</v>
      </c>
      <c r="H40" s="145"/>
    </row>
    <row r="41" spans="1:8">
      <c r="A41" s="400">
        <v>0.7</v>
      </c>
      <c r="B41" s="38" t="s">
        <v>1401</v>
      </c>
      <c r="C41" s="398">
        <v>0.45</v>
      </c>
      <c r="D41" s="163"/>
      <c r="E41" s="399">
        <v>0.45</v>
      </c>
      <c r="F41" s="394" t="s">
        <v>1009</v>
      </c>
      <c r="G41" s="155" t="s">
        <v>1010</v>
      </c>
      <c r="H41" s="145"/>
    </row>
    <row r="42" spans="1:8">
      <c r="A42" s="400">
        <v>0.55000000000000004</v>
      </c>
      <c r="B42" s="38" t="s">
        <v>1402</v>
      </c>
      <c r="C42" s="398">
        <v>0.63</v>
      </c>
      <c r="D42" s="163"/>
      <c r="E42" s="399">
        <v>0.63</v>
      </c>
      <c r="F42" s="394" t="s">
        <v>1009</v>
      </c>
      <c r="G42" s="155" t="s">
        <v>1010</v>
      </c>
      <c r="H42" s="145"/>
    </row>
    <row r="43" spans="1:8">
      <c r="A43" s="400">
        <v>0.47499999999999998</v>
      </c>
      <c r="B43" s="38" t="s">
        <v>1403</v>
      </c>
      <c r="C43" s="398">
        <v>0.88500000000000001</v>
      </c>
      <c r="D43" s="163"/>
      <c r="E43" s="399">
        <v>0.88500000000000001</v>
      </c>
      <c r="F43" s="394" t="s">
        <v>1009</v>
      </c>
      <c r="G43" s="155" t="s">
        <v>1010</v>
      </c>
      <c r="H43" s="145"/>
    </row>
    <row r="44" spans="1:8">
      <c r="A44" s="400">
        <v>0.4</v>
      </c>
      <c r="B44" s="38" t="s">
        <v>1404</v>
      </c>
      <c r="C44" s="398">
        <v>1.08</v>
      </c>
      <c r="D44" s="163"/>
      <c r="E44" s="399">
        <v>1.08</v>
      </c>
      <c r="F44" s="394" t="s">
        <v>1009</v>
      </c>
      <c r="G44" s="155" t="s">
        <v>1010</v>
      </c>
      <c r="H44" s="145"/>
    </row>
    <row r="45" spans="1:8">
      <c r="A45" s="400">
        <v>0.32500000000000001</v>
      </c>
      <c r="B45" s="38" t="s">
        <v>1405</v>
      </c>
      <c r="C45" s="398">
        <v>1.35</v>
      </c>
      <c r="D45" s="163"/>
      <c r="E45" s="399">
        <v>1.35</v>
      </c>
      <c r="F45" s="394" t="s">
        <v>1009</v>
      </c>
      <c r="G45" s="155" t="s">
        <v>1010</v>
      </c>
      <c r="H45" s="145"/>
    </row>
    <row r="46" spans="1:8">
      <c r="A46" s="400">
        <v>0.26</v>
      </c>
      <c r="B46" s="38" t="s">
        <v>161</v>
      </c>
      <c r="C46" s="398">
        <v>1.665</v>
      </c>
      <c r="D46" s="163"/>
      <c r="E46" s="399">
        <v>1.665</v>
      </c>
      <c r="F46" s="394" t="s">
        <v>1009</v>
      </c>
      <c r="G46" s="155" t="s">
        <v>1010</v>
      </c>
      <c r="H46" s="145"/>
    </row>
    <row r="47" spans="1:8">
      <c r="A47" s="400">
        <v>0.22499999999999998</v>
      </c>
      <c r="B47" s="38" t="s">
        <v>1406</v>
      </c>
      <c r="C47" s="398">
        <v>2.16</v>
      </c>
      <c r="D47" s="163"/>
      <c r="E47" s="399">
        <v>2.16</v>
      </c>
      <c r="F47" s="394" t="s">
        <v>1009</v>
      </c>
      <c r="G47" s="155" t="s">
        <v>1010</v>
      </c>
      <c r="H47" s="145"/>
    </row>
    <row r="48" spans="1:8">
      <c r="A48" s="400">
        <v>0.19</v>
      </c>
      <c r="B48" s="38" t="s">
        <v>1407</v>
      </c>
      <c r="C48" s="398">
        <v>2.7</v>
      </c>
      <c r="D48" s="163"/>
      <c r="E48" s="399">
        <v>2.7</v>
      </c>
      <c r="F48" s="394" t="s">
        <v>1009</v>
      </c>
      <c r="G48" s="155" t="s">
        <v>1010</v>
      </c>
      <c r="H48" s="145"/>
    </row>
    <row r="49" spans="1:8">
      <c r="A49" s="400">
        <v>0.13</v>
      </c>
      <c r="B49" s="38" t="s">
        <v>1408</v>
      </c>
      <c r="C49" s="398">
        <v>3.6</v>
      </c>
      <c r="D49" s="163"/>
      <c r="E49" s="399">
        <v>3.6</v>
      </c>
      <c r="F49" s="394" t="s">
        <v>1009</v>
      </c>
      <c r="G49" s="155" t="s">
        <v>1010</v>
      </c>
      <c r="H49" s="145"/>
    </row>
    <row r="50" spans="1:8">
      <c r="A50" s="400">
        <v>0.1</v>
      </c>
      <c r="B50" s="38" t="s">
        <v>1409</v>
      </c>
      <c r="C50" s="398">
        <v>4.5</v>
      </c>
      <c r="D50" s="163"/>
      <c r="E50" s="399">
        <v>4.5</v>
      </c>
      <c r="F50" s="394" t="s">
        <v>1009</v>
      </c>
      <c r="G50" s="155" t="s">
        <v>1010</v>
      </c>
      <c r="H50" s="145"/>
    </row>
    <row r="51" spans="1:8">
      <c r="A51" s="400">
        <v>0.08</v>
      </c>
      <c r="B51" s="38" t="s">
        <v>162</v>
      </c>
      <c r="C51" s="398">
        <v>5.67</v>
      </c>
      <c r="D51" s="163"/>
      <c r="E51" s="399">
        <v>5.67</v>
      </c>
      <c r="F51" s="394" t="s">
        <v>1009</v>
      </c>
      <c r="G51" s="155" t="s">
        <v>1010</v>
      </c>
      <c r="H51" s="145"/>
    </row>
    <row r="52" spans="1:8">
      <c r="A52" s="400">
        <v>0.41</v>
      </c>
      <c r="B52" s="38" t="s">
        <v>1410</v>
      </c>
      <c r="C52" s="398">
        <v>1.363</v>
      </c>
      <c r="D52" s="163"/>
      <c r="E52" s="399">
        <v>1.363</v>
      </c>
      <c r="F52" s="394" t="s">
        <v>1009</v>
      </c>
      <c r="G52" s="155" t="s">
        <v>1010</v>
      </c>
      <c r="H52" s="145"/>
    </row>
    <row r="53" spans="1:8">
      <c r="A53" s="400">
        <v>0.26</v>
      </c>
      <c r="B53" s="38" t="s">
        <v>1411</v>
      </c>
      <c r="C53" s="398">
        <v>1.927</v>
      </c>
      <c r="D53" s="163"/>
      <c r="E53" s="399">
        <v>1.927</v>
      </c>
      <c r="F53" s="394" t="s">
        <v>1009</v>
      </c>
      <c r="G53" s="155" t="s">
        <v>1010</v>
      </c>
      <c r="H53" s="145"/>
    </row>
    <row r="54" spans="1:8">
      <c r="A54" s="400">
        <v>0.19</v>
      </c>
      <c r="B54" s="38" t="s">
        <v>1412</v>
      </c>
      <c r="C54" s="398">
        <v>2.4329999999999998</v>
      </c>
      <c r="D54" s="163"/>
      <c r="E54" s="399">
        <v>2.4329999999999998</v>
      </c>
      <c r="F54" s="394" t="s">
        <v>1009</v>
      </c>
      <c r="G54" s="155" t="s">
        <v>1010</v>
      </c>
      <c r="H54" s="145"/>
    </row>
    <row r="55" spans="1:8">
      <c r="A55" s="400">
        <v>1.75</v>
      </c>
      <c r="B55" s="38" t="s">
        <v>1413</v>
      </c>
      <c r="C55" s="398">
        <v>0.13700000000000001</v>
      </c>
      <c r="D55" s="163"/>
      <c r="E55" s="399">
        <v>0.13700000000000001</v>
      </c>
      <c r="F55" s="394" t="s">
        <v>1009</v>
      </c>
      <c r="G55" s="155" t="s">
        <v>1012</v>
      </c>
      <c r="H55" s="145"/>
    </row>
    <row r="56" spans="1:8">
      <c r="A56" s="400">
        <v>1.05</v>
      </c>
      <c r="B56" s="38" t="s">
        <v>1415</v>
      </c>
      <c r="C56" s="398">
        <v>0.214</v>
      </c>
      <c r="D56" s="163"/>
      <c r="E56" s="399">
        <v>0.214</v>
      </c>
      <c r="F56" s="394" t="s">
        <v>1009</v>
      </c>
      <c r="G56" s="155" t="s">
        <v>1010</v>
      </c>
      <c r="H56" s="145"/>
    </row>
    <row r="57" spans="1:8">
      <c r="A57" s="400">
        <v>0.85</v>
      </c>
      <c r="B57" s="38" t="s">
        <v>1416</v>
      </c>
      <c r="C57" s="398">
        <v>0.315</v>
      </c>
      <c r="D57" s="163"/>
      <c r="E57" s="399">
        <v>0.315</v>
      </c>
      <c r="F57" s="394" t="s">
        <v>1009</v>
      </c>
      <c r="G57" s="155" t="s">
        <v>1010</v>
      </c>
      <c r="H57" s="145"/>
    </row>
    <row r="58" spans="1:8">
      <c r="A58" s="400">
        <v>0.7</v>
      </c>
      <c r="B58" s="38" t="s">
        <v>1417</v>
      </c>
      <c r="C58" s="398">
        <v>0.45</v>
      </c>
      <c r="D58" s="163"/>
      <c r="E58" s="399">
        <v>0.45</v>
      </c>
      <c r="F58" s="394" t="s">
        <v>1009</v>
      </c>
      <c r="G58" s="155" t="s">
        <v>1010</v>
      </c>
      <c r="H58" s="145"/>
    </row>
    <row r="59" spans="1:8">
      <c r="A59" s="400">
        <v>0.55000000000000004</v>
      </c>
      <c r="B59" s="38" t="s">
        <v>1418</v>
      </c>
      <c r="C59" s="398">
        <v>0.63</v>
      </c>
      <c r="D59" s="163"/>
      <c r="E59" s="399">
        <v>0.63</v>
      </c>
      <c r="F59" s="394" t="s">
        <v>1009</v>
      </c>
      <c r="G59" s="155" t="s">
        <v>1010</v>
      </c>
      <c r="H59" s="145"/>
    </row>
    <row r="60" spans="1:8">
      <c r="A60" s="400">
        <v>0.47499999999999998</v>
      </c>
      <c r="B60" s="38" t="s">
        <v>1419</v>
      </c>
      <c r="C60" s="398">
        <v>0.88500000000000001</v>
      </c>
      <c r="D60" s="163"/>
      <c r="E60" s="399">
        <v>0.88500000000000001</v>
      </c>
      <c r="F60" s="394" t="s">
        <v>1009</v>
      </c>
      <c r="G60" s="155" t="s">
        <v>1010</v>
      </c>
      <c r="H60" s="145"/>
    </row>
    <row r="61" spans="1:8">
      <c r="A61" s="400">
        <v>0.4</v>
      </c>
      <c r="B61" s="38" t="s">
        <v>1420</v>
      </c>
      <c r="C61" s="398">
        <v>1.08</v>
      </c>
      <c r="D61" s="163"/>
      <c r="E61" s="399">
        <v>1.08</v>
      </c>
      <c r="F61" s="394" t="s">
        <v>1009</v>
      </c>
      <c r="G61" s="155" t="s">
        <v>1010</v>
      </c>
      <c r="H61" s="145"/>
    </row>
    <row r="62" spans="1:8">
      <c r="A62" s="400">
        <v>0.32500000000000001</v>
      </c>
      <c r="B62" s="38" t="s">
        <v>1421</v>
      </c>
      <c r="C62" s="398">
        <v>1.35</v>
      </c>
      <c r="D62" s="163"/>
      <c r="E62" s="399">
        <v>1.35</v>
      </c>
      <c r="F62" s="394" t="s">
        <v>1009</v>
      </c>
      <c r="G62" s="155" t="s">
        <v>1010</v>
      </c>
      <c r="H62" s="145"/>
    </row>
    <row r="63" spans="1:8">
      <c r="A63" s="400">
        <v>0.26</v>
      </c>
      <c r="B63" s="38" t="s">
        <v>1422</v>
      </c>
      <c r="C63" s="398">
        <v>1.665</v>
      </c>
      <c r="D63" s="163"/>
      <c r="E63" s="399">
        <v>1.665</v>
      </c>
      <c r="F63" s="394" t="s">
        <v>1009</v>
      </c>
      <c r="G63" s="155" t="s">
        <v>1010</v>
      </c>
      <c r="H63" s="145"/>
    </row>
    <row r="64" spans="1:8">
      <c r="A64" s="400">
        <v>0.22499999999999998</v>
      </c>
      <c r="B64" s="38" t="s">
        <v>1423</v>
      </c>
      <c r="C64" s="398">
        <v>2.16</v>
      </c>
      <c r="D64" s="163"/>
      <c r="E64" s="399">
        <v>2.16</v>
      </c>
      <c r="F64" s="394" t="s">
        <v>1009</v>
      </c>
      <c r="G64" s="155" t="s">
        <v>1010</v>
      </c>
      <c r="H64" s="145"/>
    </row>
    <row r="65" spans="1:8">
      <c r="A65" s="400">
        <v>0.19</v>
      </c>
      <c r="B65" s="38" t="s">
        <v>1424</v>
      </c>
      <c r="C65" s="398">
        <v>2.7</v>
      </c>
      <c r="D65" s="163"/>
      <c r="E65" s="399">
        <v>2.7</v>
      </c>
      <c r="F65" s="394" t="s">
        <v>1009</v>
      </c>
      <c r="G65" s="155" t="s">
        <v>1010</v>
      </c>
      <c r="H65" s="145"/>
    </row>
    <row r="66" spans="1:8">
      <c r="A66" s="400">
        <v>0.13</v>
      </c>
      <c r="B66" s="38" t="s">
        <v>1425</v>
      </c>
      <c r="C66" s="398">
        <v>3.6</v>
      </c>
      <c r="D66" s="163"/>
      <c r="E66" s="399">
        <v>3.6</v>
      </c>
      <c r="F66" s="394" t="s">
        <v>1009</v>
      </c>
      <c r="G66" s="155" t="s">
        <v>1010</v>
      </c>
      <c r="H66" s="145"/>
    </row>
    <row r="67" spans="1:8">
      <c r="A67" s="400">
        <v>0.1</v>
      </c>
      <c r="B67" s="38" t="s">
        <v>1426</v>
      </c>
      <c r="C67" s="398">
        <v>4.5</v>
      </c>
      <c r="D67" s="163"/>
      <c r="E67" s="399">
        <v>4.5</v>
      </c>
      <c r="F67" s="394" t="s">
        <v>1009</v>
      </c>
      <c r="G67" s="155" t="s">
        <v>1010</v>
      </c>
      <c r="H67" s="145"/>
    </row>
    <row r="68" spans="1:8">
      <c r="A68" s="400">
        <v>0.08</v>
      </c>
      <c r="B68" s="38" t="s">
        <v>1427</v>
      </c>
      <c r="C68" s="398">
        <v>5.67</v>
      </c>
      <c r="D68" s="163"/>
      <c r="E68" s="399">
        <v>5.67</v>
      </c>
      <c r="F68" s="394" t="s">
        <v>1009</v>
      </c>
      <c r="G68" s="155" t="s">
        <v>1010</v>
      </c>
      <c r="H68" s="145"/>
    </row>
    <row r="69" spans="1:8">
      <c r="A69" s="400">
        <v>0.41</v>
      </c>
      <c r="B69" s="38" t="s">
        <v>1428</v>
      </c>
      <c r="C69" s="398">
        <v>1.363</v>
      </c>
      <c r="D69" s="163"/>
      <c r="E69" s="399">
        <v>1.363</v>
      </c>
      <c r="F69" s="394" t="s">
        <v>1009</v>
      </c>
      <c r="G69" s="155" t="s">
        <v>1010</v>
      </c>
      <c r="H69" s="145"/>
    </row>
    <row r="70" spans="1:8">
      <c r="A70" s="400">
        <v>0.26</v>
      </c>
      <c r="B70" s="38" t="s">
        <v>1429</v>
      </c>
      <c r="C70" s="398">
        <v>1.927</v>
      </c>
      <c r="D70" s="163"/>
      <c r="E70" s="399">
        <v>1.927</v>
      </c>
      <c r="F70" s="394" t="s">
        <v>1009</v>
      </c>
      <c r="G70" s="155" t="s">
        <v>1010</v>
      </c>
      <c r="H70" s="145"/>
    </row>
    <row r="71" spans="1:8">
      <c r="A71" s="400">
        <v>0.19</v>
      </c>
      <c r="B71" s="38" t="s">
        <v>1430</v>
      </c>
      <c r="C71" s="398">
        <v>2.4329999999999998</v>
      </c>
      <c r="D71" s="163"/>
      <c r="E71" s="399">
        <v>2.4329999999999998</v>
      </c>
      <c r="F71" s="394" t="s">
        <v>1009</v>
      </c>
      <c r="G71" s="155" t="s">
        <v>1010</v>
      </c>
      <c r="H71" s="145"/>
    </row>
    <row r="72" spans="1:8">
      <c r="A72" s="400">
        <v>0.35</v>
      </c>
      <c r="B72" s="38" t="s">
        <v>164</v>
      </c>
      <c r="C72" s="398">
        <v>0.5</v>
      </c>
      <c r="D72" s="163"/>
      <c r="E72" s="399">
        <v>0.5</v>
      </c>
      <c r="F72" s="394" t="s">
        <v>1009</v>
      </c>
      <c r="G72" s="155" t="s">
        <v>1010</v>
      </c>
      <c r="H72" s="145"/>
    </row>
    <row r="73" spans="1:8">
      <c r="A73" s="400">
        <v>0.17</v>
      </c>
      <c r="B73" s="38" t="s">
        <v>165</v>
      </c>
      <c r="C73" s="398">
        <v>4</v>
      </c>
      <c r="D73" s="163"/>
      <c r="E73" s="399">
        <v>4</v>
      </c>
      <c r="F73" s="394" t="s">
        <v>1009</v>
      </c>
      <c r="G73" s="155" t="s">
        <v>1010</v>
      </c>
      <c r="H73" s="145"/>
    </row>
    <row r="74" spans="1:8">
      <c r="A74" s="400">
        <v>13</v>
      </c>
      <c r="B74" s="38" t="s">
        <v>167</v>
      </c>
      <c r="C74" s="398">
        <v>1.0999999999999999E-2</v>
      </c>
      <c r="D74" s="163"/>
      <c r="E74" s="399">
        <v>1.0999999999999999E-2</v>
      </c>
      <c r="F74" s="394" t="s">
        <v>1009</v>
      </c>
      <c r="G74" s="155" t="s">
        <v>1013</v>
      </c>
      <c r="H74" s="145"/>
    </row>
    <row r="75" spans="1:8">
      <c r="A75" s="400">
        <v>7.45</v>
      </c>
      <c r="B75" s="38" t="s">
        <v>426</v>
      </c>
      <c r="C75" s="398">
        <v>2.1999999999999999E-2</v>
      </c>
      <c r="D75" s="163"/>
      <c r="E75" s="399">
        <v>2.1999999999999999E-2</v>
      </c>
      <c r="F75" s="394" t="s">
        <v>1009</v>
      </c>
      <c r="G75" s="155" t="s">
        <v>1013</v>
      </c>
      <c r="H75" s="145"/>
    </row>
    <row r="76" spans="1:8">
      <c r="A76" s="400">
        <v>4.46</v>
      </c>
      <c r="B76" s="38" t="s">
        <v>1014</v>
      </c>
      <c r="C76" s="398">
        <v>3.5999999999999997E-2</v>
      </c>
      <c r="D76" s="163"/>
      <c r="E76" s="399">
        <v>3.5999999999999997E-2</v>
      </c>
      <c r="F76" s="394" t="s">
        <v>1009</v>
      </c>
      <c r="G76" s="155" t="s">
        <v>1013</v>
      </c>
      <c r="H76" s="145"/>
    </row>
    <row r="77" spans="1:8">
      <c r="A77" s="400">
        <v>2.8</v>
      </c>
      <c r="B77" s="38" t="s">
        <v>1015</v>
      </c>
      <c r="C77" s="398">
        <v>5.8000000000000003E-2</v>
      </c>
      <c r="D77" s="163"/>
      <c r="E77" s="399">
        <v>5.8000000000000003E-2</v>
      </c>
      <c r="F77" s="394" t="s">
        <v>1009</v>
      </c>
      <c r="G77" s="155" t="s">
        <v>1013</v>
      </c>
      <c r="H77" s="145"/>
    </row>
    <row r="78" spans="1:8">
      <c r="A78" s="400">
        <v>1.86</v>
      </c>
      <c r="B78" s="38" t="s">
        <v>1016</v>
      </c>
      <c r="C78" s="398">
        <v>8.6999999999999994E-2</v>
      </c>
      <c r="D78" s="163"/>
      <c r="E78" s="399">
        <v>8.6999999999999994E-2</v>
      </c>
      <c r="F78" s="394" t="s">
        <v>1009</v>
      </c>
      <c r="G78" s="155" t="s">
        <v>1013</v>
      </c>
      <c r="H78" s="145"/>
    </row>
    <row r="79" spans="1:8">
      <c r="A79" s="400">
        <v>0.2</v>
      </c>
      <c r="B79" s="38" t="s">
        <v>1017</v>
      </c>
      <c r="C79" s="398">
        <v>2.5</v>
      </c>
      <c r="D79" s="163"/>
      <c r="E79" s="399">
        <v>2.5</v>
      </c>
      <c r="F79" s="394" t="s">
        <v>1009</v>
      </c>
      <c r="G79" s="155" t="s">
        <v>1018</v>
      </c>
      <c r="H79" s="145"/>
    </row>
    <row r="80" spans="1:8">
      <c r="A80" s="400">
        <v>0.1</v>
      </c>
      <c r="B80" s="38" t="s">
        <v>428</v>
      </c>
      <c r="C80" s="398">
        <v>3.5</v>
      </c>
      <c r="D80" s="163"/>
      <c r="E80" s="399">
        <v>3.5</v>
      </c>
      <c r="F80" s="394" t="s">
        <v>1009</v>
      </c>
      <c r="G80" s="155" t="s">
        <v>1018</v>
      </c>
      <c r="H80" s="145"/>
    </row>
    <row r="81" spans="1:8">
      <c r="A81" s="400">
        <v>1.67</v>
      </c>
      <c r="B81" s="38" t="s">
        <v>1019</v>
      </c>
      <c r="C81" s="398">
        <v>0.1</v>
      </c>
      <c r="D81" s="163"/>
      <c r="E81" s="399">
        <v>0.1</v>
      </c>
      <c r="F81" s="394" t="s">
        <v>1009</v>
      </c>
      <c r="G81" s="155"/>
      <c r="H81" s="145"/>
    </row>
    <row r="82" spans="1:8">
      <c r="A82" s="400">
        <v>1</v>
      </c>
      <c r="B82" s="38" t="s">
        <v>430</v>
      </c>
      <c r="C82" s="398">
        <v>0.2</v>
      </c>
      <c r="D82" s="163"/>
      <c r="E82" s="399">
        <v>0.2</v>
      </c>
      <c r="F82" s="394" t="s">
        <v>1009</v>
      </c>
      <c r="G82" s="155"/>
      <c r="H82" s="145"/>
    </row>
    <row r="83" spans="1:8">
      <c r="A83" s="400">
        <v>0.28999999999999998</v>
      </c>
      <c r="B83" s="38" t="s">
        <v>1020</v>
      </c>
      <c r="C83" s="398">
        <v>0.4</v>
      </c>
      <c r="D83" s="163"/>
      <c r="E83" s="399">
        <v>0.4</v>
      </c>
      <c r="F83" s="394" t="s">
        <v>1009</v>
      </c>
      <c r="G83" s="155"/>
      <c r="H83" s="145"/>
    </row>
    <row r="84" spans="1:8">
      <c r="A84" s="400">
        <v>0.19</v>
      </c>
      <c r="B84" s="38" t="s">
        <v>1021</v>
      </c>
      <c r="C84" s="398">
        <v>0.5</v>
      </c>
      <c r="D84" s="163"/>
      <c r="E84" s="399">
        <v>0.5</v>
      </c>
      <c r="F84" s="394" t="s">
        <v>1009</v>
      </c>
      <c r="G84" s="155"/>
      <c r="H84" s="145"/>
    </row>
    <row r="85" spans="1:8">
      <c r="A85" s="400">
        <v>0.15</v>
      </c>
      <c r="B85" s="38" t="s">
        <v>1022</v>
      </c>
      <c r="C85" s="398">
        <v>0.6</v>
      </c>
      <c r="D85" s="163"/>
      <c r="E85" s="399">
        <v>0.6</v>
      </c>
      <c r="F85" s="394" t="s">
        <v>1009</v>
      </c>
      <c r="G85" s="155"/>
      <c r="H85" s="145"/>
    </row>
    <row r="86" spans="1:8">
      <c r="D86" s="244"/>
      <c r="E86" s="244"/>
    </row>
    <row r="87" spans="1:8" ht="13">
      <c r="B87" s="380" t="s">
        <v>21</v>
      </c>
      <c r="C87" s="378"/>
      <c r="D87" s="378"/>
      <c r="E87" s="378"/>
      <c r="F87" s="378"/>
      <c r="G87" s="391"/>
    </row>
    <row r="88" spans="1:8">
      <c r="B88" s="156" t="s">
        <v>576</v>
      </c>
      <c r="C88" s="401">
        <v>15</v>
      </c>
      <c r="D88" s="163"/>
      <c r="E88" s="402">
        <v>15</v>
      </c>
      <c r="F88" s="403" t="s">
        <v>1023</v>
      </c>
      <c r="G88" s="155"/>
      <c r="H88" s="145"/>
    </row>
    <row r="89" spans="1:8">
      <c r="D89" s="244"/>
      <c r="E89" s="244"/>
    </row>
    <row r="90" spans="1:8">
      <c r="D90" s="244"/>
      <c r="E90" s="244"/>
    </row>
    <row r="91" spans="1:8" ht="13">
      <c r="B91" s="380" t="s">
        <v>1024</v>
      </c>
      <c r="C91" s="378"/>
      <c r="D91" s="378"/>
      <c r="E91" s="378"/>
      <c r="F91" s="378"/>
      <c r="G91" s="391"/>
    </row>
    <row r="92" spans="1:8" ht="13">
      <c r="B92" s="156" t="s">
        <v>812</v>
      </c>
      <c r="C92" s="398">
        <v>0.15</v>
      </c>
      <c r="D92" s="163"/>
      <c r="E92" s="399">
        <v>0.15</v>
      </c>
      <c r="F92" s="403" t="s">
        <v>299</v>
      </c>
      <c r="G92" s="157"/>
      <c r="H92" s="145"/>
    </row>
    <row r="93" spans="1:8">
      <c r="D93" s="244"/>
      <c r="E93" s="244"/>
    </row>
    <row r="94" spans="1:8" ht="13">
      <c r="B94" s="380" t="s">
        <v>820</v>
      </c>
      <c r="C94" s="378"/>
      <c r="D94" s="378"/>
      <c r="E94" s="378"/>
      <c r="F94" s="378"/>
      <c r="G94" s="391"/>
    </row>
    <row r="95" spans="1:8" ht="13">
      <c r="B95" s="156" t="s">
        <v>319</v>
      </c>
      <c r="C95" s="401">
        <v>2.5</v>
      </c>
      <c r="D95" s="165"/>
      <c r="E95" s="402">
        <v>2.5</v>
      </c>
      <c r="F95" s="403" t="s">
        <v>316</v>
      </c>
      <c r="G95" s="157"/>
      <c r="H95" s="145"/>
    </row>
    <row r="96" spans="1:8" ht="13">
      <c r="B96" s="156" t="s">
        <v>558</v>
      </c>
      <c r="C96" s="401">
        <v>2</v>
      </c>
      <c r="D96" s="165"/>
      <c r="E96" s="402">
        <v>2</v>
      </c>
      <c r="F96" s="403" t="s">
        <v>316</v>
      </c>
      <c r="G96" s="157"/>
      <c r="H96" s="145"/>
    </row>
    <row r="97" spans="1:8">
      <c r="D97" s="244"/>
      <c r="E97" s="244"/>
    </row>
    <row r="98" spans="1:8" ht="13">
      <c r="B98" s="380" t="s">
        <v>807</v>
      </c>
      <c r="C98" s="378"/>
      <c r="D98" s="378"/>
      <c r="E98" s="378"/>
      <c r="F98" s="378"/>
      <c r="G98" s="391"/>
    </row>
    <row r="99" spans="1:8" ht="13">
      <c r="B99" s="156" t="s">
        <v>808</v>
      </c>
      <c r="C99" s="401">
        <v>0.3</v>
      </c>
      <c r="D99" s="164"/>
      <c r="E99" s="402">
        <v>0.3</v>
      </c>
      <c r="F99" s="403" t="s">
        <v>316</v>
      </c>
      <c r="G99" s="157"/>
      <c r="H99" s="145"/>
    </row>
    <row r="100" spans="1:8" ht="13">
      <c r="B100" s="156" t="s">
        <v>810</v>
      </c>
      <c r="C100" s="401">
        <v>0.1</v>
      </c>
      <c r="D100" s="164"/>
      <c r="E100" s="402">
        <v>0.1</v>
      </c>
      <c r="F100" s="403" t="s">
        <v>316</v>
      </c>
      <c r="G100" s="157"/>
      <c r="H100" s="145"/>
    </row>
    <row r="101" spans="1:8">
      <c r="D101" s="244"/>
      <c r="E101" s="244"/>
    </row>
    <row r="102" spans="1:8" ht="13">
      <c r="B102" s="380" t="s">
        <v>814</v>
      </c>
      <c r="C102" s="378"/>
      <c r="D102" s="378"/>
      <c r="E102" s="378"/>
      <c r="F102" s="378"/>
      <c r="G102" s="391"/>
    </row>
    <row r="103" spans="1:8" ht="13">
      <c r="B103" s="156" t="s">
        <v>815</v>
      </c>
      <c r="C103" s="401">
        <v>7</v>
      </c>
      <c r="D103" s="164"/>
      <c r="E103" s="402">
        <v>7</v>
      </c>
      <c r="F103" s="403" t="s">
        <v>1025</v>
      </c>
      <c r="G103" s="157"/>
      <c r="H103" s="145"/>
    </row>
    <row r="104" spans="1:8" ht="13">
      <c r="B104" s="156" t="s">
        <v>817</v>
      </c>
      <c r="C104" s="401">
        <v>7</v>
      </c>
      <c r="D104" s="164"/>
      <c r="E104" s="402">
        <v>7</v>
      </c>
      <c r="F104" s="403" t="s">
        <v>1025</v>
      </c>
      <c r="G104" s="157"/>
      <c r="H104" s="145"/>
    </row>
    <row r="105" spans="1:8" ht="13">
      <c r="B105" s="158" t="s">
        <v>818</v>
      </c>
      <c r="C105" s="401">
        <v>150</v>
      </c>
      <c r="D105" s="164"/>
      <c r="E105" s="404">
        <v>150</v>
      </c>
      <c r="F105" s="403" t="s">
        <v>1026</v>
      </c>
      <c r="G105" s="157"/>
      <c r="H105" s="145"/>
    </row>
    <row r="106" spans="1:8" ht="13">
      <c r="B106" s="158" t="s">
        <v>819</v>
      </c>
      <c r="C106" s="401">
        <v>75</v>
      </c>
      <c r="D106" s="164"/>
      <c r="E106" s="404">
        <v>75</v>
      </c>
      <c r="F106" s="403" t="s">
        <v>1027</v>
      </c>
      <c r="G106" s="157"/>
      <c r="H106" s="145"/>
    </row>
    <row r="107" spans="1:8">
      <c r="D107" s="244"/>
      <c r="E107" s="244"/>
    </row>
    <row r="108" spans="1:8" ht="13">
      <c r="B108" s="265" t="s">
        <v>242</v>
      </c>
      <c r="C108" s="372"/>
      <c r="F108" s="372"/>
    </row>
    <row r="109" spans="1:8">
      <c r="A109" s="317" t="s">
        <v>1231</v>
      </c>
      <c r="B109" s="38" t="s">
        <v>1028</v>
      </c>
      <c r="C109" s="401">
        <v>0</v>
      </c>
      <c r="D109" s="163"/>
      <c r="E109" s="402">
        <v>0</v>
      </c>
      <c r="F109" s="394" t="s">
        <v>299</v>
      </c>
      <c r="G109" s="155"/>
      <c r="H109" s="145"/>
    </row>
    <row r="110" spans="1:8">
      <c r="A110" s="317" t="s">
        <v>1232</v>
      </c>
      <c r="B110" s="38" t="s">
        <v>1029</v>
      </c>
      <c r="C110" s="401">
        <v>0.3</v>
      </c>
      <c r="D110" s="163"/>
      <c r="E110" s="402">
        <v>0.3</v>
      </c>
      <c r="F110" s="394" t="s">
        <v>299</v>
      </c>
      <c r="G110" s="155"/>
      <c r="H110" s="145"/>
    </row>
    <row r="111" spans="1:8">
      <c r="A111" s="317" t="s">
        <v>1233</v>
      </c>
      <c r="B111" s="38" t="s">
        <v>1030</v>
      </c>
      <c r="C111" s="401">
        <v>0.5</v>
      </c>
      <c r="D111" s="163"/>
      <c r="E111" s="402">
        <v>0.5</v>
      </c>
      <c r="F111" s="394" t="s">
        <v>299</v>
      </c>
      <c r="G111" s="155"/>
      <c r="H111" s="145"/>
    </row>
    <row r="112" spans="1:8">
      <c r="D112" s="244"/>
      <c r="E112" s="244"/>
    </row>
    <row r="113" spans="2:8" ht="13">
      <c r="B113" s="265" t="s">
        <v>1031</v>
      </c>
      <c r="D113" s="244"/>
      <c r="E113" s="244"/>
    </row>
    <row r="114" spans="2:8">
      <c r="B114" s="38" t="s">
        <v>1032</v>
      </c>
      <c r="C114" s="405">
        <v>18</v>
      </c>
      <c r="D114" s="164"/>
      <c r="E114" s="404">
        <v>18</v>
      </c>
      <c r="F114" s="406" t="s">
        <v>445</v>
      </c>
      <c r="G114" s="155"/>
      <c r="H114" s="145"/>
    </row>
    <row r="115" spans="2:8">
      <c r="B115" s="15" t="s">
        <v>1033</v>
      </c>
      <c r="C115" s="405">
        <v>20</v>
      </c>
      <c r="D115" s="164"/>
      <c r="E115" s="404">
        <v>20</v>
      </c>
      <c r="F115" s="406" t="s">
        <v>445</v>
      </c>
      <c r="G115" s="155"/>
      <c r="H115" s="145"/>
    </row>
    <row r="116" spans="2:8">
      <c r="B116" s="38" t="s">
        <v>1034</v>
      </c>
      <c r="C116" s="405">
        <v>9</v>
      </c>
      <c r="D116" s="164"/>
      <c r="E116" s="404">
        <v>9</v>
      </c>
      <c r="F116" s="406" t="s">
        <v>445</v>
      </c>
      <c r="G116" s="155"/>
      <c r="H116" s="145"/>
    </row>
    <row r="117" spans="2:8">
      <c r="B117" s="38" t="s">
        <v>1035</v>
      </c>
      <c r="C117" s="405">
        <v>10</v>
      </c>
      <c r="D117" s="164"/>
      <c r="E117" s="404">
        <v>10</v>
      </c>
      <c r="F117" s="406" t="s">
        <v>1036</v>
      </c>
      <c r="G117" s="155"/>
      <c r="H117" s="145"/>
    </row>
    <row r="118" spans="2:8">
      <c r="C118" s="159"/>
      <c r="D118" s="159"/>
      <c r="E118" s="159"/>
      <c r="F118" s="159"/>
    </row>
    <row r="119" spans="2:8" ht="13">
      <c r="B119" s="265" t="s">
        <v>1037</v>
      </c>
      <c r="C119" s="372"/>
      <c r="F119" s="372"/>
    </row>
    <row r="120" spans="2:8" ht="14.5">
      <c r="B120" s="38" t="s">
        <v>1038</v>
      </c>
      <c r="C120" s="401">
        <v>2.4</v>
      </c>
      <c r="D120" s="164"/>
      <c r="E120" s="402">
        <v>2.4</v>
      </c>
      <c r="F120" s="394" t="s">
        <v>1039</v>
      </c>
      <c r="G120" s="155"/>
      <c r="H120" s="145"/>
    </row>
    <row r="121" spans="2:8">
      <c r="B121" s="38" t="s">
        <v>1040</v>
      </c>
      <c r="C121" s="401">
        <v>0.2</v>
      </c>
      <c r="D121" s="164"/>
      <c r="E121" s="402">
        <v>0.2</v>
      </c>
      <c r="F121" s="394" t="s">
        <v>299</v>
      </c>
      <c r="G121" s="155"/>
      <c r="H121" s="145"/>
    </row>
    <row r="122" spans="2:8">
      <c r="B122" s="38" t="s">
        <v>1041</v>
      </c>
      <c r="C122" s="401">
        <v>2</v>
      </c>
      <c r="D122" s="164"/>
      <c r="E122" s="402">
        <v>2</v>
      </c>
      <c r="F122" s="394"/>
      <c r="G122" s="155"/>
      <c r="H122" s="145"/>
    </row>
    <row r="123" spans="2:8">
      <c r="B123" s="38" t="s">
        <v>1042</v>
      </c>
      <c r="C123" s="401">
        <v>8</v>
      </c>
      <c r="D123" s="164"/>
      <c r="E123" s="402">
        <v>8</v>
      </c>
      <c r="F123" s="394" t="s">
        <v>1043</v>
      </c>
      <c r="G123" s="160" t="s">
        <v>1044</v>
      </c>
      <c r="H123" s="145"/>
    </row>
    <row r="124" spans="2:8">
      <c r="B124" s="38" t="s">
        <v>1045</v>
      </c>
      <c r="C124" s="405">
        <v>5.4</v>
      </c>
      <c r="D124" s="164"/>
      <c r="E124" s="402">
        <v>5.4</v>
      </c>
      <c r="F124" s="394" t="s">
        <v>1046</v>
      </c>
      <c r="G124" s="155"/>
      <c r="H124" s="145"/>
    </row>
    <row r="125" spans="2:8">
      <c r="B125" s="38" t="s">
        <v>1047</v>
      </c>
      <c r="C125" s="405">
        <v>9.1999999999999993</v>
      </c>
      <c r="D125" s="164"/>
      <c r="E125" s="402">
        <v>9.1999999999999993</v>
      </c>
      <c r="F125" s="394" t="s">
        <v>1048</v>
      </c>
      <c r="G125" s="155"/>
      <c r="H125" s="145"/>
    </row>
    <row r="126" spans="2:8">
      <c r="B126" s="38" t="s">
        <v>1049</v>
      </c>
      <c r="C126" s="405">
        <v>4.5</v>
      </c>
      <c r="D126" s="164"/>
      <c r="E126" s="402">
        <v>4.5</v>
      </c>
      <c r="F126" s="394" t="s">
        <v>1048</v>
      </c>
      <c r="G126" s="155"/>
      <c r="H126" s="145"/>
    </row>
    <row r="127" spans="2:8">
      <c r="B127" s="38" t="s">
        <v>1050</v>
      </c>
      <c r="C127" s="405">
        <v>5.4</v>
      </c>
      <c r="D127" s="164"/>
      <c r="E127" s="402">
        <v>5.4</v>
      </c>
      <c r="F127" s="394" t="s">
        <v>1048</v>
      </c>
      <c r="G127" s="155"/>
      <c r="H127" s="145"/>
    </row>
    <row r="128" spans="2:8">
      <c r="D128" s="244"/>
      <c r="E128" s="244"/>
    </row>
    <row r="129" spans="2:8" ht="13">
      <c r="B129" s="265" t="s">
        <v>1051</v>
      </c>
      <c r="C129" s="372"/>
      <c r="F129" s="372"/>
    </row>
    <row r="130" spans="2:8">
      <c r="B130" s="38" t="s">
        <v>403</v>
      </c>
      <c r="C130" s="161">
        <v>0.1</v>
      </c>
      <c r="D130" s="166"/>
      <c r="E130" s="162">
        <v>0.1</v>
      </c>
      <c r="F130" s="394"/>
      <c r="G130" s="155"/>
      <c r="H130" s="145"/>
    </row>
    <row r="131" spans="2:8">
      <c r="B131" s="38" t="s">
        <v>405</v>
      </c>
      <c r="C131" s="161">
        <v>0.05</v>
      </c>
      <c r="D131" s="166"/>
      <c r="E131" s="162">
        <v>0.05</v>
      </c>
      <c r="F131" s="394"/>
      <c r="G131" s="155"/>
      <c r="H131" s="145"/>
    </row>
    <row r="132" spans="2:8">
      <c r="B132" s="38" t="s">
        <v>406</v>
      </c>
      <c r="C132" s="161">
        <v>0.1</v>
      </c>
      <c r="D132" s="166"/>
      <c r="E132" s="162">
        <v>0.1</v>
      </c>
      <c r="F132" s="394"/>
      <c r="G132" s="155"/>
      <c r="H132" s="145"/>
    </row>
    <row r="133" spans="2:8">
      <c r="D133" s="244"/>
      <c r="E133" s="244"/>
    </row>
    <row r="134" spans="2:8" ht="13">
      <c r="B134" s="265" t="s">
        <v>1052</v>
      </c>
      <c r="D134" s="244"/>
      <c r="E134" s="244"/>
    </row>
    <row r="135" spans="2:8">
      <c r="B135" s="38" t="s">
        <v>1053</v>
      </c>
      <c r="C135" s="401">
        <v>1.6</v>
      </c>
      <c r="D135" s="165"/>
      <c r="E135" s="402">
        <v>1.6</v>
      </c>
      <c r="F135" s="394" t="s">
        <v>1043</v>
      </c>
      <c r="G135" s="155"/>
      <c r="H135" s="145"/>
    </row>
    <row r="136" spans="2:8">
      <c r="B136" s="38" t="s">
        <v>1054</v>
      </c>
      <c r="C136" s="405">
        <v>1.5</v>
      </c>
      <c r="D136" s="165"/>
      <c r="E136" s="402">
        <v>1.5</v>
      </c>
      <c r="F136" s="394" t="s">
        <v>1043</v>
      </c>
      <c r="G136" s="155"/>
      <c r="H136" s="145"/>
    </row>
    <row r="138" spans="2:8" ht="13">
      <c r="B138" s="265" t="s">
        <v>1055</v>
      </c>
      <c r="D138" s="244"/>
      <c r="E138" s="244"/>
    </row>
    <row r="139" spans="2:8">
      <c r="B139" s="38" t="s">
        <v>1056</v>
      </c>
      <c r="C139" s="398">
        <v>0.03</v>
      </c>
      <c r="D139" s="163"/>
      <c r="E139" s="399">
        <v>0.03</v>
      </c>
      <c r="F139" s="394" t="s">
        <v>1057</v>
      </c>
      <c r="G139" s="155"/>
      <c r="H139" s="145"/>
    </row>
    <row r="140" spans="2:8">
      <c r="D140" s="244"/>
      <c r="E140" s="244"/>
    </row>
    <row r="141" spans="2:8" ht="13">
      <c r="B141" s="265" t="s">
        <v>1058</v>
      </c>
      <c r="C141" s="372"/>
      <c r="F141" s="372"/>
    </row>
    <row r="142" spans="2:8">
      <c r="B142" s="38" t="s">
        <v>1059</v>
      </c>
      <c r="C142" s="407" t="s">
        <v>1060</v>
      </c>
      <c r="D142" s="163"/>
      <c r="E142" s="399" t="s">
        <v>1060</v>
      </c>
      <c r="F142" s="394" t="s">
        <v>155</v>
      </c>
      <c r="G142" s="155"/>
      <c r="H142" s="145"/>
    </row>
    <row r="143" spans="2:8">
      <c r="D143" s="244"/>
      <c r="E143" s="244"/>
    </row>
    <row r="144" spans="2:8" ht="13">
      <c r="B144" s="265" t="s">
        <v>1061</v>
      </c>
      <c r="C144" s="372"/>
      <c r="F144" s="372"/>
    </row>
    <row r="145" spans="1:8">
      <c r="B145" s="38" t="s">
        <v>1062</v>
      </c>
      <c r="C145" s="395">
        <v>150</v>
      </c>
      <c r="D145" s="164"/>
      <c r="E145" s="404">
        <v>150</v>
      </c>
      <c r="F145" s="394" t="s">
        <v>553</v>
      </c>
      <c r="G145" s="155"/>
      <c r="H145" s="145"/>
    </row>
    <row r="146" spans="1:8">
      <c r="B146" s="38" t="s">
        <v>1063</v>
      </c>
      <c r="C146" s="395">
        <v>250</v>
      </c>
      <c r="D146" s="164"/>
      <c r="E146" s="404">
        <v>250</v>
      </c>
      <c r="F146" s="394" t="s">
        <v>553</v>
      </c>
      <c r="G146" s="155"/>
      <c r="H146" s="145"/>
    </row>
    <row r="147" spans="1:8">
      <c r="B147" s="38" t="s">
        <v>1064</v>
      </c>
      <c r="C147" s="395">
        <v>200</v>
      </c>
      <c r="D147" s="164"/>
      <c r="E147" s="404">
        <v>200</v>
      </c>
      <c r="F147" s="394" t="s">
        <v>553</v>
      </c>
      <c r="G147" s="155"/>
      <c r="H147" s="145"/>
    </row>
    <row r="148" spans="1:8">
      <c r="B148" s="38" t="s">
        <v>1065</v>
      </c>
      <c r="C148" s="405">
        <v>250</v>
      </c>
      <c r="D148" s="164"/>
      <c r="E148" s="404">
        <v>250</v>
      </c>
      <c r="F148" s="394" t="s">
        <v>553</v>
      </c>
      <c r="G148" s="155"/>
      <c r="H148" s="145"/>
    </row>
    <row r="149" spans="1:8">
      <c r="B149" s="38" t="s">
        <v>1066</v>
      </c>
      <c r="C149" s="405">
        <v>150</v>
      </c>
      <c r="D149" s="164"/>
      <c r="E149" s="404">
        <v>150</v>
      </c>
      <c r="F149" s="394" t="s">
        <v>553</v>
      </c>
      <c r="G149" s="155"/>
      <c r="H149" s="145"/>
    </row>
    <row r="150" spans="1:8">
      <c r="B150" s="38" t="s">
        <v>1067</v>
      </c>
      <c r="C150" s="405">
        <v>150</v>
      </c>
      <c r="D150" s="164"/>
      <c r="E150" s="404">
        <v>150</v>
      </c>
      <c r="F150" s="394" t="s">
        <v>553</v>
      </c>
      <c r="G150" s="155"/>
      <c r="H150" s="145"/>
    </row>
    <row r="151" spans="1:8">
      <c r="D151" s="244"/>
      <c r="E151" s="244"/>
    </row>
    <row r="152" spans="1:8" ht="13">
      <c r="B152" s="265" t="s">
        <v>1068</v>
      </c>
      <c r="C152" s="372"/>
      <c r="F152" s="372"/>
    </row>
    <row r="153" spans="1:8">
      <c r="B153" s="38" t="s">
        <v>214</v>
      </c>
      <c r="C153" s="398">
        <v>3</v>
      </c>
      <c r="D153" s="163"/>
      <c r="E153" s="399">
        <v>3</v>
      </c>
      <c r="F153" s="394" t="s">
        <v>299</v>
      </c>
      <c r="G153" s="155"/>
      <c r="H153" s="145"/>
    </row>
    <row r="154" spans="1:8">
      <c r="B154" s="38" t="s">
        <v>221</v>
      </c>
      <c r="C154" s="398">
        <v>6</v>
      </c>
      <c r="D154" s="163"/>
      <c r="E154" s="399">
        <v>6</v>
      </c>
      <c r="F154" s="394" t="s">
        <v>299</v>
      </c>
      <c r="G154" s="155"/>
      <c r="H154" s="145"/>
    </row>
    <row r="155" spans="1:8">
      <c r="B155" s="38" t="s">
        <v>225</v>
      </c>
      <c r="C155" s="398">
        <v>3</v>
      </c>
      <c r="D155" s="163"/>
      <c r="E155" s="399">
        <v>3</v>
      </c>
      <c r="F155" s="394" t="s">
        <v>299</v>
      </c>
      <c r="G155" s="155"/>
      <c r="H155" s="145"/>
    </row>
    <row r="156" spans="1:8">
      <c r="B156" s="38" t="s">
        <v>230</v>
      </c>
      <c r="C156" s="398">
        <v>6</v>
      </c>
      <c r="D156" s="163"/>
      <c r="E156" s="399">
        <v>6</v>
      </c>
      <c r="F156" s="394" t="s">
        <v>299</v>
      </c>
      <c r="G156" s="155"/>
      <c r="H156" s="145"/>
    </row>
    <row r="157" spans="1:8">
      <c r="B157" s="38" t="s">
        <v>219</v>
      </c>
      <c r="C157" s="398">
        <v>3</v>
      </c>
      <c r="D157" s="163"/>
      <c r="E157" s="399">
        <v>3</v>
      </c>
      <c r="F157" s="394" t="s">
        <v>299</v>
      </c>
      <c r="G157" s="155"/>
      <c r="H157" s="145"/>
    </row>
    <row r="158" spans="1:8">
      <c r="B158" s="38" t="s">
        <v>237</v>
      </c>
      <c r="C158" s="398">
        <v>6</v>
      </c>
      <c r="D158" s="163"/>
      <c r="E158" s="399">
        <v>6</v>
      </c>
      <c r="F158" s="394" t="s">
        <v>299</v>
      </c>
      <c r="G158" s="155"/>
      <c r="H158" s="145"/>
    </row>
    <row r="159" spans="1:8">
      <c r="A159" s="317" t="s">
        <v>1231</v>
      </c>
      <c r="B159" s="38" t="s">
        <v>1069</v>
      </c>
      <c r="C159" s="398">
        <v>0</v>
      </c>
      <c r="D159" s="163"/>
      <c r="E159" s="399">
        <v>0</v>
      </c>
      <c r="F159" s="394" t="s">
        <v>299</v>
      </c>
      <c r="G159" s="155"/>
      <c r="H159" s="145"/>
    </row>
    <row r="160" spans="1:8">
      <c r="A160" s="317" t="s">
        <v>1232</v>
      </c>
      <c r="B160" s="38" t="s">
        <v>1070</v>
      </c>
      <c r="C160" s="398">
        <v>0.15</v>
      </c>
      <c r="D160" s="163"/>
      <c r="E160" s="399">
        <v>0.15</v>
      </c>
      <c r="F160" s="394" t="s">
        <v>299</v>
      </c>
      <c r="G160" s="155"/>
      <c r="H160" s="145"/>
    </row>
    <row r="161" spans="1:8">
      <c r="A161" s="317" t="s">
        <v>1233</v>
      </c>
      <c r="B161" s="38" t="s">
        <v>1071</v>
      </c>
      <c r="C161" s="398">
        <v>0.25</v>
      </c>
      <c r="D161" s="163"/>
      <c r="E161" s="399">
        <v>0.25</v>
      </c>
      <c r="F161" s="394" t="s">
        <v>299</v>
      </c>
      <c r="G161" s="155"/>
      <c r="H161" s="145"/>
    </row>
    <row r="162" spans="1:8">
      <c r="E162" s="244"/>
    </row>
    <row r="163" spans="1:8" ht="13">
      <c r="B163" s="265" t="s">
        <v>1072</v>
      </c>
      <c r="E163" s="244"/>
    </row>
    <row r="164" spans="1:8">
      <c r="B164" s="38" t="s">
        <v>1073</v>
      </c>
      <c r="C164" s="407" t="s">
        <v>1074</v>
      </c>
      <c r="D164" s="163"/>
      <c r="E164" s="399" t="s">
        <v>1074</v>
      </c>
      <c r="F164" s="394" t="s">
        <v>155</v>
      </c>
      <c r="G164" s="15" t="s">
        <v>1075</v>
      </c>
      <c r="H164" s="145"/>
    </row>
    <row r="165" spans="1:8">
      <c r="B165" s="38" t="s">
        <v>1076</v>
      </c>
      <c r="C165" s="407" t="s">
        <v>1074</v>
      </c>
      <c r="D165" s="163"/>
      <c r="E165" s="399" t="s">
        <v>1074</v>
      </c>
      <c r="F165" s="394" t="s">
        <v>155</v>
      </c>
      <c r="G165" s="155"/>
      <c r="H165" s="145"/>
    </row>
    <row r="166" spans="1:8">
      <c r="B166" s="38" t="s">
        <v>1077</v>
      </c>
      <c r="C166" s="407" t="s">
        <v>1074</v>
      </c>
      <c r="D166" s="163"/>
      <c r="E166" s="399" t="s">
        <v>1074</v>
      </c>
      <c r="F166" s="394" t="s">
        <v>155</v>
      </c>
      <c r="G166" s="155"/>
      <c r="H166" s="145"/>
    </row>
    <row r="167" spans="1:8">
      <c r="B167" s="38" t="s">
        <v>1078</v>
      </c>
      <c r="C167" s="407" t="s">
        <v>1060</v>
      </c>
      <c r="D167" s="163"/>
      <c r="E167" s="399" t="s">
        <v>1060</v>
      </c>
      <c r="F167" s="394" t="s">
        <v>155</v>
      </c>
      <c r="G167" s="7" t="s">
        <v>1079</v>
      </c>
      <c r="H167" s="145"/>
    </row>
    <row r="169" spans="1:8" ht="13">
      <c r="B169" s="265" t="s">
        <v>1080</v>
      </c>
      <c r="E169" s="244"/>
    </row>
    <row r="170" spans="1:8">
      <c r="B170" s="38" t="s">
        <v>1081</v>
      </c>
      <c r="C170" s="398">
        <v>10</v>
      </c>
      <c r="D170" s="163"/>
      <c r="E170" s="399">
        <v>10</v>
      </c>
      <c r="F170" s="394" t="s">
        <v>1082</v>
      </c>
      <c r="G170" s="155"/>
      <c r="H170" s="145"/>
    </row>
  </sheetData>
  <sheetProtection algorithmName="SHA-512" hashValue="ao7kIg536DCBsk1STQ/yR2Osr+TY7Tal/fQjFzpe/KY2NCzHBiMwNethU/GlUQeDSATuY9104qhJexCxj5Z0FQ==" saltValue="J/JVEQnBkn7wokzmjUhkYQ==" spinCount="100000" sheet="1" objects="1" scenarios="1" autoFilter="0"/>
  <phoneticPr fontId="8" type="noConversion"/>
  <dataValidations disablePrompts="1" count="12">
    <dataValidation type="custom" allowBlank="1" showInputMessage="1" showErrorMessage="1" error="Please enter a numeric value." sqref="D169:D170" xr:uid="{4A6103E6-0331-482E-9A6F-DD529655E77B}">
      <formula1>ISNUMBER(D169:D180)</formula1>
    </dataValidation>
    <dataValidation type="custom" allowBlank="1" showInputMessage="1" showErrorMessage="1" error="Please enter a numeric value." sqref="D108:D135" xr:uid="{C54D52E0-55E0-4BC6-887B-7195EE3D92F5}">
      <formula1>ISNUMBER(D108:D1048569)</formula1>
    </dataValidation>
    <dataValidation type="custom" allowBlank="1" showInputMessage="1" showErrorMessage="1" error="Please enter a numeric value." sqref="D136:D139" xr:uid="{AB9C8DFC-2B75-4B6E-876F-AFBA36F69058}">
      <formula1>ISNUMBER(D23:D136)</formula1>
    </dataValidation>
    <dataValidation type="custom" allowBlank="1" showInputMessage="1" showErrorMessage="1" error="Please enter a numeric value." sqref="D152:D161" xr:uid="{B36A20E2-C0FE-4E1A-B13C-D45778BD8047}">
      <formula1>ISNUMBER(D152:D171)</formula1>
    </dataValidation>
    <dataValidation type="custom" allowBlank="1" showInputMessage="1" showErrorMessage="1" error="Please enter a numeric value." sqref="D145:D151" xr:uid="{C67E5600-6E80-46CF-82C0-C48D5358C922}">
      <formula1>ISNUMBER(D145:D161)</formula1>
    </dataValidation>
    <dataValidation type="custom" allowBlank="1" showInputMessage="1" showErrorMessage="1" error="Please enter a numeric value." sqref="D72:D88" xr:uid="{D5F054B2-CC08-4404-B5DD-19B85DB19868}">
      <formula1>ISNUMBER(D72:D1048507)</formula1>
    </dataValidation>
    <dataValidation type="custom" allowBlank="1" showInputMessage="1" showErrorMessage="1" error="Please enter a numeric value." sqref="D89:D107" xr:uid="{800E2D0E-8B78-4B0D-8761-361401702DB2}">
      <formula1>ISNUMBER(D89:D1048526)</formula1>
    </dataValidation>
    <dataValidation type="custom" allowBlank="1" showInputMessage="1" showErrorMessage="1" error="Please enter a numeric value." sqref="D52:D54 D69:D71" xr:uid="{165DC3C0-EED1-4B97-894A-E4C9C8BEE2BE}">
      <formula1>ISNUMBER(D52:D1048493)</formula1>
    </dataValidation>
    <dataValidation type="custom" allowBlank="1" showInputMessage="1" showErrorMessage="1" error="Please enter a numeric value." sqref="D38:D48 D55:D65" xr:uid="{8D2AA882-FD23-4940-804D-FCE0AF1E15C7}">
      <formula1>ISNUMBER(D38:D1048488)</formula1>
    </dataValidation>
    <dataValidation type="custom" allowBlank="1" showInputMessage="1" showErrorMessage="1" error="Please enter a numeric value." sqref="D49:D51 D66:D68" xr:uid="{2802C394-7B44-4548-BDF5-4E270B7EA39D}">
      <formula1>ISNUMBER(D49:D1048498)</formula1>
    </dataValidation>
    <dataValidation type="custom" allowBlank="1" showInputMessage="1" showErrorMessage="1" error="Please enter a numeric value." sqref="D9:D34" xr:uid="{2D78D647-6EC7-4B83-9074-35C13CFE8408}">
      <formula1>ISNUMBER(D9:D1048462)</formula1>
    </dataValidation>
    <dataValidation type="custom" allowBlank="1" showInputMessage="1" showErrorMessage="1" error="Please enter a numeric value." sqref="D35:D37" xr:uid="{8B1B089C-6423-44AC-B8D0-9EC3C74E943D}">
      <formula1>ISNUMBER(D35:D1048486)</formula1>
    </dataValidation>
  </dataValidations>
  <hyperlinks>
    <hyperlink ref="B5" location="Information" display="Return to Information" xr:uid="{7D5500FD-9BD6-4F3E-B430-B48955F1C343}"/>
    <hyperlink ref="G123" r:id="rId1" xr:uid="{8031641F-7E77-4DF6-985E-96E093FB9D7F}"/>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ED56A40-F886-4BE5-9A29-2CF7C3E4AFB9}">
          <x14:formula1>
            <xm:f>Lists!$B$51:$B$69</xm:f>
          </x14:formula1>
          <xm:sqref>C142:D142 C164:D167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1E63-A836-4E5C-B2F1-52AE7D1F59A3}">
  <sheetPr codeName="Sheet14">
    <tabColor theme="5" tint="0.39997558519241921"/>
  </sheetPr>
  <dimension ref="A2:N13"/>
  <sheetViews>
    <sheetView showGridLines="0" zoomScaleNormal="100" workbookViewId="0"/>
  </sheetViews>
  <sheetFormatPr defaultColWidth="8.7265625" defaultRowHeight="12.5"/>
  <cols>
    <col min="1" max="1" width="3.453125" style="219" customWidth="1"/>
    <col min="2" max="2" width="34.7265625" style="219" bestFit="1" customWidth="1"/>
    <col min="3" max="8" width="10.54296875" style="219" customWidth="1"/>
    <col min="9" max="9" width="2.81640625" style="219" customWidth="1"/>
    <col min="10" max="10" width="27.54296875" style="219" customWidth="1"/>
    <col min="11" max="11" width="8.7265625" style="219"/>
    <col min="12" max="14" width="10.54296875" style="219" customWidth="1"/>
    <col min="15" max="16384" width="8.7265625" style="219"/>
  </cols>
  <sheetData>
    <row r="2" spans="1:14" ht="13">
      <c r="B2" s="226" t="str">
        <f>Project_Name</f>
        <v xml:space="preserve">South Australia Hydrogen and Renewable Energy Restoration Cost Estimation Tool </v>
      </c>
    </row>
    <row r="3" spans="1:14">
      <c r="B3" s="5" t="s">
        <v>47</v>
      </c>
    </row>
    <row r="4" spans="1:14" ht="13">
      <c r="B4" s="362" t="s">
        <v>31</v>
      </c>
      <c r="D4" s="226"/>
    </row>
    <row r="5" spans="1:14" ht="26">
      <c r="B5" s="230"/>
      <c r="C5" s="408" t="s">
        <v>416</v>
      </c>
      <c r="D5" s="408" t="s">
        <v>1083</v>
      </c>
      <c r="E5" s="408" t="s">
        <v>420</v>
      </c>
      <c r="F5" s="408" t="s">
        <v>419</v>
      </c>
      <c r="G5" s="408" t="s">
        <v>1084</v>
      </c>
      <c r="H5" s="408" t="s">
        <v>1085</v>
      </c>
      <c r="J5" s="408" t="s">
        <v>1086</v>
      </c>
      <c r="L5" s="408" t="s">
        <v>1087</v>
      </c>
      <c r="M5" s="408" t="s">
        <v>1088</v>
      </c>
      <c r="N5" s="408" t="s">
        <v>1089</v>
      </c>
    </row>
    <row r="6" spans="1:14" ht="13">
      <c r="B6" s="230" t="s">
        <v>138</v>
      </c>
      <c r="C6" s="408" t="s">
        <v>411</v>
      </c>
      <c r="D6" s="408" t="s">
        <v>1090</v>
      </c>
      <c r="E6" s="408" t="s">
        <v>1090</v>
      </c>
      <c r="F6" s="408" t="s">
        <v>1090</v>
      </c>
      <c r="G6" s="408" t="s">
        <v>1090</v>
      </c>
      <c r="H6" s="408" t="s">
        <v>1090</v>
      </c>
      <c r="J6" s="408"/>
      <c r="L6" s="408" t="s">
        <v>299</v>
      </c>
      <c r="M6" s="408" t="s">
        <v>299</v>
      </c>
      <c r="N6" s="408" t="s">
        <v>1091</v>
      </c>
    </row>
    <row r="7" spans="1:14" ht="13">
      <c r="A7" s="219">
        <v>1</v>
      </c>
      <c r="B7" s="167" t="s">
        <v>1092</v>
      </c>
      <c r="C7" s="409">
        <v>30</v>
      </c>
      <c r="D7" s="168">
        <v>0.7</v>
      </c>
      <c r="E7" s="168">
        <v>0.2</v>
      </c>
      <c r="F7" s="168">
        <v>8.0000000000000002E-3</v>
      </c>
      <c r="G7" s="168">
        <v>0</v>
      </c>
      <c r="H7" s="168">
        <f>100%-SUM(D7:G7)</f>
        <v>9.2000000000000082E-2</v>
      </c>
      <c r="J7" s="410"/>
      <c r="L7" s="411">
        <v>2</v>
      </c>
      <c r="M7" s="411">
        <v>1</v>
      </c>
      <c r="N7" s="411">
        <f>L7*M7</f>
        <v>2</v>
      </c>
    </row>
    <row r="8" spans="1:14" ht="13">
      <c r="B8" s="167" t="s">
        <v>1093</v>
      </c>
      <c r="C8" s="409">
        <v>28</v>
      </c>
      <c r="D8" s="168">
        <v>0.72</v>
      </c>
      <c r="E8" s="168">
        <v>0.08</v>
      </c>
      <c r="F8" s="168">
        <v>0.01</v>
      </c>
      <c r="G8" s="168">
        <v>0.01</v>
      </c>
      <c r="H8" s="168">
        <f>100%-SUM(D8:G8)</f>
        <v>0.18000000000000005</v>
      </c>
      <c r="J8" s="410"/>
      <c r="L8" s="411">
        <v>1.8</v>
      </c>
      <c r="M8" s="411">
        <v>1</v>
      </c>
      <c r="N8" s="411">
        <f t="shared" ref="N8:N11" si="0">L8*M8</f>
        <v>1.8</v>
      </c>
    </row>
    <row r="9" spans="1:14" ht="13">
      <c r="B9" s="169" t="s">
        <v>1094</v>
      </c>
      <c r="C9" s="170"/>
      <c r="D9" s="171"/>
      <c r="E9" s="171"/>
      <c r="F9" s="171"/>
      <c r="G9" s="171"/>
      <c r="H9" s="168">
        <f t="shared" ref="H9:H11" si="1">100%-SUM(D9:G9)</f>
        <v>1</v>
      </c>
      <c r="J9" s="172"/>
      <c r="L9" s="173"/>
      <c r="M9" s="173"/>
      <c r="N9" s="411">
        <f t="shared" si="0"/>
        <v>0</v>
      </c>
    </row>
    <row r="10" spans="1:14" ht="13">
      <c r="B10" s="169" t="s">
        <v>1095</v>
      </c>
      <c r="C10" s="170"/>
      <c r="D10" s="171"/>
      <c r="E10" s="171"/>
      <c r="F10" s="171"/>
      <c r="G10" s="171"/>
      <c r="H10" s="168">
        <f t="shared" si="1"/>
        <v>1</v>
      </c>
      <c r="J10" s="172"/>
      <c r="L10" s="173"/>
      <c r="M10" s="173"/>
      <c r="N10" s="411">
        <f t="shared" si="0"/>
        <v>0</v>
      </c>
    </row>
    <row r="11" spans="1:14" ht="13">
      <c r="B11" s="169" t="s">
        <v>1096</v>
      </c>
      <c r="C11" s="170"/>
      <c r="D11" s="171"/>
      <c r="E11" s="171"/>
      <c r="F11" s="171"/>
      <c r="G11" s="171"/>
      <c r="H11" s="168">
        <f t="shared" si="1"/>
        <v>1</v>
      </c>
      <c r="J11" s="172"/>
      <c r="L11" s="173"/>
      <c r="M11" s="173"/>
      <c r="N11" s="411">
        <f t="shared" si="0"/>
        <v>0</v>
      </c>
    </row>
    <row r="13" spans="1:14">
      <c r="A13" s="219">
        <f>A7</f>
        <v>1</v>
      </c>
      <c r="B13" s="219" t="s">
        <v>1097</v>
      </c>
    </row>
  </sheetData>
  <sheetProtection algorithmName="SHA-512" hashValue="guRuB4J89nzn/kwib3TgfPC8f2MhRBUe9Z6oDuKOwG/UBUC7X9fGEzGMVzAcF436eG1ZsMj64nz25XG+1Cc+PA==" saltValue="tH4Xdph9Tt4krUTiB33YWg==" spinCount="100000" sheet="1" objects="1" scenarios="1" autoFilter="0"/>
  <phoneticPr fontId="8" type="noConversion"/>
  <dataValidations count="3">
    <dataValidation type="custom" allowBlank="1" showInputMessage="1" showErrorMessage="1" error="Please enter a numeric value." sqref="C9:C11" xr:uid="{70299D8F-A37D-421A-966C-25ADA0F3580D}">
      <formula1>ISNUMBER(C9:C11)</formula1>
    </dataValidation>
    <dataValidation type="decimal" allowBlank="1" showInputMessage="1" showErrorMessage="1" error="Please enter a valid percentage." sqref="D9:G11" xr:uid="{DAC219A0-73BA-4C6C-961D-468D39205516}">
      <formula1>0</formula1>
      <formula2>100</formula2>
    </dataValidation>
    <dataValidation type="custom" allowBlank="1" showInputMessage="1" showErrorMessage="1" error="Please enter a numeric value." sqref="L9:M11" xr:uid="{D2F01C58-077F-48C2-8346-90E2317145D3}">
      <formula1>ISNUMBER(L9:M11)</formula1>
    </dataValidation>
  </dataValidations>
  <hyperlinks>
    <hyperlink ref="B3" location="Information" display="Return to Information" xr:uid="{E6F3C0A0-2846-4CEC-BF08-66E8B2A954F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FB8A-43E1-48AC-9641-3EC052A0EE17}">
  <sheetPr codeName="Sheet15">
    <tabColor theme="5" tint="0.39997558519241921"/>
  </sheetPr>
  <dimension ref="A2:BM47"/>
  <sheetViews>
    <sheetView showGridLines="0" zoomScaleNormal="100" workbookViewId="0">
      <pane xSplit="3" ySplit="4" topLeftCell="D5" activePane="bottomRight" state="frozen"/>
      <selection pane="topRight" activeCell="D904" sqref="D904"/>
      <selection pane="bottomLeft" activeCell="D904" sqref="D904"/>
      <selection pane="bottomRight"/>
    </sheetView>
  </sheetViews>
  <sheetFormatPr defaultColWidth="8.7265625" defaultRowHeight="12.5"/>
  <cols>
    <col min="1" max="1" width="3.453125" style="219" customWidth="1"/>
    <col min="2" max="2" width="34.7265625" style="219" customWidth="1"/>
    <col min="3" max="3" width="10.54296875" style="219" customWidth="1"/>
    <col min="4" max="65" width="6.7265625" style="219" customWidth="1"/>
    <col min="66" max="72" width="10.54296875" style="219" customWidth="1"/>
    <col min="73" max="73" width="4" style="219" customWidth="1"/>
    <col min="74" max="77" width="10.54296875" style="219" customWidth="1"/>
    <col min="78" max="16384" width="8.7265625" style="219"/>
  </cols>
  <sheetData>
    <row r="2" spans="2:65" ht="13">
      <c r="B2" s="226" t="str">
        <f>Project_Name</f>
        <v xml:space="preserve">South Australia Hydrogen and Renewable Energy Restoration Cost Estimation Tool </v>
      </c>
      <c r="L2" s="174"/>
      <c r="M2" s="219" t="s">
        <v>1098</v>
      </c>
    </row>
    <row r="3" spans="2:65">
      <c r="B3" s="5" t="s">
        <v>47</v>
      </c>
    </row>
    <row r="4" spans="2:65" ht="164.25" customHeight="1">
      <c r="B4" s="362" t="s">
        <v>33</v>
      </c>
      <c r="C4" s="412" t="s">
        <v>82</v>
      </c>
      <c r="D4" s="175" t="s">
        <v>138</v>
      </c>
      <c r="E4" s="175" t="str">
        <f>CONCATENATE("Vestas V27‑225kW (T",E21,$C21,")")</f>
        <v>Vestas V27‑225kW (T33.5m)</v>
      </c>
      <c r="F4" s="175" t="str">
        <f>CONCATENATE("Vestas V39‑500kW (T",F21,$C21,")")</f>
        <v>Vestas V39‑500kW (T40.5m)</v>
      </c>
      <c r="G4" s="175" t="str">
        <f>CONCATENATE("Vestas V39‑500kW (T",G21,$C21,")")</f>
        <v>Vestas V39‑500kW (T53m)</v>
      </c>
      <c r="H4" s="175" t="str">
        <f>CONCATENATE("Vestas V42‑500kW (T",H21,$C21,")")</f>
        <v>Vestas V42‑500kW (T40.5m)</v>
      </c>
      <c r="I4" s="175" t="str">
        <f>CONCATENATE("Vestas V42‑500kW (T",I21,$C21,")")</f>
        <v>Vestas V42‑500kW (T53m)</v>
      </c>
      <c r="J4" s="175" t="s">
        <v>424</v>
      </c>
      <c r="K4" s="175" t="str">
        <f>CONCATENATE("Vestas V42‑600kW (T",K21,$C21,")")</f>
        <v>Vestas V42‑600kW (T40.5m)</v>
      </c>
      <c r="L4" s="175" t="str">
        <f>CONCATENATE("Vestas V42‑600kW (T",L21,$C21,")")</f>
        <v>Vestas V42‑600kW (T53m)</v>
      </c>
      <c r="M4" s="175" t="str">
        <f>CONCATENATE("Vestas V44‑600kW (T",M21,$C21,")")</f>
        <v>Vestas V44‑600kW (T40.5m)</v>
      </c>
      <c r="N4" s="175" t="str">
        <f>CONCATENATE("Vestas V44‑600kW (T",N21,$C21,")")</f>
        <v>Vestas V44‑600kW (T53m)</v>
      </c>
      <c r="O4" s="175" t="str">
        <f>CONCATENATE("Vestas V44‑600kW (T",O21,$C21,")")</f>
        <v>Vestas V44‑600kW (T63m)</v>
      </c>
      <c r="P4" s="175" t="str">
        <f>CONCATENATE("Enercon E44/600 (T",P21,$C21,")")</f>
        <v>Enercon E44/600 (T50m)</v>
      </c>
      <c r="Q4" s="175" t="str">
        <f>CONCATENATE("Enercon E44/600 (T",Q21,$C21,")")</f>
        <v>Enercon E44/600 (T78m)</v>
      </c>
      <c r="R4" s="175" t="str">
        <f>CONCATENATE("Vestas V47‑660kW (T",R21,$C21,")")</f>
        <v>Vestas V47‑660kW (T40m)</v>
      </c>
      <c r="S4" s="175" t="str">
        <f>CONCATENATE("Vestas V47‑660kW (T",S21,$C21,")")</f>
        <v>Vestas V47‑660kW (T45m)</v>
      </c>
      <c r="T4" s="175" t="str">
        <f>CONCATENATE("Vestas V47‑660kW (T",T21,$C21,")")</f>
        <v>Vestas V47‑660kW (T50m)</v>
      </c>
      <c r="U4" s="175" t="str">
        <f>CONCATENATE("Vestas V47‑660kW (T",U21,$C21,")")</f>
        <v>Vestas V47‑660kW (T55m)</v>
      </c>
      <c r="V4" s="175" t="str">
        <f>CONCATENATE("Vestas V112‑3.3MW (T",V21,$C21,")")</f>
        <v>Vestas V112‑3.3MW (T84m)</v>
      </c>
      <c r="W4" s="175" t="str">
        <f t="shared" ref="W4:X4" si="0">CONCATENATE("Vestas V112‑3.3MW (T",W21,$C21,")")</f>
        <v>Vestas V112‑3.3MW (T94m)</v>
      </c>
      <c r="X4" s="175" t="str">
        <f t="shared" si="0"/>
        <v>Vestas V112‑3.3MW (T119m)</v>
      </c>
      <c r="Y4" s="175" t="str">
        <f>CONCATENATE("Vestas V117-3.45MW (T",Y21,$C21,")")</f>
        <v>Vestas V117-3.45MW (T80m)</v>
      </c>
      <c r="Z4" s="175" t="str">
        <f t="shared" ref="Z4:AA4" si="1">CONCATENATE("Vestas V117-3.45MW (T",Z21,$C21,")")</f>
        <v>Vestas V117-3.45MW (T91.5m)</v>
      </c>
      <c r="AA4" s="175" t="str">
        <f t="shared" si="1"/>
        <v>Vestas V117-3.45MW (T116.5m)</v>
      </c>
      <c r="AB4" s="175" t="str">
        <f>CONCATENATE("Vestas V136-3.6 MW (T",AB21,$C21,")")</f>
        <v>Vestas V136-3.6 MW (T82m)</v>
      </c>
      <c r="AC4" s="175" t="str">
        <f t="shared" ref="AC4:AE4" si="2">CONCATENATE("Vestas V136-3.6 MW (T",AC21,$C21,")")</f>
        <v>Vestas V136-3.6 MW (T112m)</v>
      </c>
      <c r="AD4" s="175" t="str">
        <f t="shared" si="2"/>
        <v>Vestas V136-3.6 MW (T142m)</v>
      </c>
      <c r="AE4" s="175" t="str">
        <f t="shared" si="2"/>
        <v>Vestas V136-3.6 MW (T166m)</v>
      </c>
      <c r="AF4" s="175" t="str">
        <f>CONCATENATE("GE 3.6-137 (T",AF21,$C21,")")</f>
        <v>GE 3.6-137 (T110m)</v>
      </c>
      <c r="AG4" s="175" t="str">
        <f t="shared" ref="AG4:AI4" si="3">CONCATENATE("GE 3.6-137 (T",AG21,$C21,")")</f>
        <v>GE 3.6-137 (T131.4m)</v>
      </c>
      <c r="AH4" s="175" t="str">
        <f t="shared" si="3"/>
        <v>GE 3.6-137 (T149m)</v>
      </c>
      <c r="AI4" s="175" t="str">
        <f t="shared" si="3"/>
        <v>GE 3.6-137 (T164.5m)</v>
      </c>
      <c r="AJ4" s="175" t="str">
        <f>CONCATENATE("GE 3.8-130 (T",AJ21,$C21,")")</f>
        <v>GE 3.8-130 (T85m)</v>
      </c>
      <c r="AK4" s="175" t="str">
        <f t="shared" ref="AK4:AM4" si="4">CONCATENATE("GE 3.8-130 (T",AK21,$C21,")")</f>
        <v>GE 3.8-130 (T110m)</v>
      </c>
      <c r="AL4" s="175" t="str">
        <f t="shared" si="4"/>
        <v>GE 3.8-130 (T131.4m)</v>
      </c>
      <c r="AM4" s="175" t="str">
        <f t="shared" si="4"/>
        <v>GE 3.8-130 (T164.5m)</v>
      </c>
      <c r="AN4" s="175" t="str">
        <f>CONCATENATE("Vestas V150-4.2MW (T",AN21,"m)")</f>
        <v>Vestas V150-4.2MW (T105m)</v>
      </c>
      <c r="AO4" s="175" t="str">
        <f t="shared" ref="AO4:AR4" si="5">CONCATENATE("Vestas V150-4.2MW (T",AO21,"m)")</f>
        <v>Vestas V150-4.2MW (T123m)</v>
      </c>
      <c r="AP4" s="175" t="str">
        <f t="shared" si="5"/>
        <v>Vestas V150-4.2MW (T145m)</v>
      </c>
      <c r="AQ4" s="175" t="str">
        <f t="shared" si="5"/>
        <v>Vestas V150-4.2MW (T155m)</v>
      </c>
      <c r="AR4" s="175" t="str">
        <f t="shared" si="5"/>
        <v>Vestas V150-4.2MW (T166m)</v>
      </c>
      <c r="AS4" s="175" t="str">
        <f>CONCATENATE("Vestas V162-6.2MW (T",AS21,"m)")</f>
        <v>Vestas V162-6.2MW (T119m)</v>
      </c>
      <c r="AT4" s="175" t="str">
        <f>CONCATENATE("Vestas V162-6.2MW (T",AT21,"m)")</f>
        <v>Vestas V162-6.2MW (T125m)</v>
      </c>
      <c r="AU4" s="175" t="str">
        <f>CONCATENATE("Vestas V162-6.2MW (T",AU21,"m)")</f>
        <v>Vestas V162-6.2MW (T149m)</v>
      </c>
      <c r="AV4" s="175" t="str">
        <f>CONCATENATE("Vestas V162-6.2MW (T",AV21,"m)")</f>
        <v>Vestas V162-6.2MW (T166m)</v>
      </c>
      <c r="AW4" s="175" t="str">
        <f>CONCATENATE("Vestas V162-6.2MW (T",AW21,"m)")</f>
        <v>Vestas V162-6.2MW (T169m)</v>
      </c>
      <c r="AX4" s="175" t="str">
        <f>CONCATENATE("Goldwind 4.5 MW (T",AX21,"m)")</f>
        <v>Goldwind 4.5 MW (T110m)</v>
      </c>
      <c r="AY4" s="175" t="str">
        <f>CONCATENATE("Vestas V162-5.6MW (T",AY21,"m)")</f>
        <v>Vestas V162-5.6MW (T119m)</v>
      </c>
      <c r="AZ4" s="175" t="str">
        <f t="shared" ref="AZ4:BB4" si="6">CONCATENATE("Vestas V162-5.6MW (T",AZ21,"m)")</f>
        <v>Vestas V162-5.6MW (T125m)</v>
      </c>
      <c r="BA4" s="175" t="str">
        <f t="shared" si="6"/>
        <v>Vestas V162-5.6MW (T149m)</v>
      </c>
      <c r="BB4" s="175" t="str">
        <f t="shared" si="6"/>
        <v>Vestas V162-5.6MW (T166m)</v>
      </c>
      <c r="BC4" s="175" t="str">
        <f>CONCATENATE("Nordex Delta 4000-N163 (T",BC21,"m)")</f>
        <v>Nordex Delta 4000-N163 (T118m)</v>
      </c>
      <c r="BD4" s="175" t="str">
        <f>CONCATENATE("Nordex Delta 4000-N163 (T",BD21,"m)")</f>
        <v>Nordex Delta 4000-N163 (T164m)</v>
      </c>
      <c r="BE4" s="175" t="s">
        <v>1099</v>
      </c>
      <c r="BF4" s="185" t="s">
        <v>1094</v>
      </c>
      <c r="BG4" s="185" t="s">
        <v>1095</v>
      </c>
      <c r="BH4" s="185" t="s">
        <v>1096</v>
      </c>
      <c r="BI4" s="185" t="s">
        <v>1100</v>
      </c>
      <c r="BJ4" s="185" t="s">
        <v>1101</v>
      </c>
      <c r="BK4" s="185" t="s">
        <v>1102</v>
      </c>
      <c r="BL4" s="185" t="s">
        <v>1103</v>
      </c>
      <c r="BM4" s="185" t="s">
        <v>1104</v>
      </c>
    </row>
    <row r="5" spans="2:65">
      <c r="B5" s="176" t="s">
        <v>88</v>
      </c>
      <c r="C5" s="177" t="s">
        <v>89</v>
      </c>
      <c r="D5" s="409"/>
      <c r="E5" s="409">
        <v>0.22500000000000001</v>
      </c>
      <c r="F5" s="409">
        <v>0.5</v>
      </c>
      <c r="G5" s="409">
        <v>0.5</v>
      </c>
      <c r="H5" s="409">
        <v>0.5</v>
      </c>
      <c r="I5" s="409">
        <v>0.5</v>
      </c>
      <c r="J5" s="409">
        <v>0.5</v>
      </c>
      <c r="K5" s="409">
        <v>0.6</v>
      </c>
      <c r="L5" s="409">
        <f>K5</f>
        <v>0.6</v>
      </c>
      <c r="M5" s="409">
        <f>K5</f>
        <v>0.6</v>
      </c>
      <c r="N5" s="409">
        <f>L5</f>
        <v>0.6</v>
      </c>
      <c r="O5" s="409">
        <f>M5</f>
        <v>0.6</v>
      </c>
      <c r="P5" s="409">
        <v>0.9</v>
      </c>
      <c r="Q5" s="409">
        <f>P5</f>
        <v>0.9</v>
      </c>
      <c r="R5" s="411">
        <v>0.66</v>
      </c>
      <c r="S5" s="411">
        <f>$R5</f>
        <v>0.66</v>
      </c>
      <c r="T5" s="411">
        <f t="shared" ref="T5:U6" si="7">$R5</f>
        <v>0.66</v>
      </c>
      <c r="U5" s="411">
        <f t="shared" si="7"/>
        <v>0.66</v>
      </c>
      <c r="V5" s="409">
        <v>3.3</v>
      </c>
      <c r="W5" s="409">
        <v>3.3</v>
      </c>
      <c r="X5" s="409">
        <v>3.3</v>
      </c>
      <c r="Y5" s="409">
        <v>3.45</v>
      </c>
      <c r="Z5" s="409">
        <f>Y5</f>
        <v>3.45</v>
      </c>
      <c r="AA5" s="409">
        <f>Z5</f>
        <v>3.45</v>
      </c>
      <c r="AB5" s="409">
        <v>3.6</v>
      </c>
      <c r="AC5" s="409">
        <f>AB5</f>
        <v>3.6</v>
      </c>
      <c r="AD5" s="409">
        <f t="shared" ref="AD5:AE5" si="8">AC5</f>
        <v>3.6</v>
      </c>
      <c r="AE5" s="409">
        <f t="shared" si="8"/>
        <v>3.6</v>
      </c>
      <c r="AF5" s="409">
        <v>3.6</v>
      </c>
      <c r="AG5" s="409">
        <f>AF5</f>
        <v>3.6</v>
      </c>
      <c r="AH5" s="409">
        <f t="shared" ref="AH5:AI5" si="9">AG5</f>
        <v>3.6</v>
      </c>
      <c r="AI5" s="409">
        <f t="shared" si="9"/>
        <v>3.6</v>
      </c>
      <c r="AJ5" s="409">
        <v>3.8</v>
      </c>
      <c r="AK5" s="409">
        <f>AJ5</f>
        <v>3.8</v>
      </c>
      <c r="AL5" s="409">
        <f t="shared" ref="AL5:AM5" si="10">AK5</f>
        <v>3.8</v>
      </c>
      <c r="AM5" s="409">
        <f t="shared" si="10"/>
        <v>3.8</v>
      </c>
      <c r="AN5" s="409">
        <v>4.2</v>
      </c>
      <c r="AO5" s="409">
        <f>AN5</f>
        <v>4.2</v>
      </c>
      <c r="AP5" s="409">
        <f t="shared" ref="AP5:AR5" si="11">AO5</f>
        <v>4.2</v>
      </c>
      <c r="AQ5" s="409">
        <f t="shared" si="11"/>
        <v>4.2</v>
      </c>
      <c r="AR5" s="409">
        <f t="shared" si="11"/>
        <v>4.2</v>
      </c>
      <c r="AS5" s="409">
        <v>6.2</v>
      </c>
      <c r="AT5" s="409">
        <f>AS5</f>
        <v>6.2</v>
      </c>
      <c r="AU5" s="409">
        <f t="shared" ref="AU5" si="12">AT5</f>
        <v>6.2</v>
      </c>
      <c r="AV5" s="409">
        <f t="shared" ref="AV5" si="13">AU5</f>
        <v>6.2</v>
      </c>
      <c r="AW5" s="409">
        <f t="shared" ref="AW5" si="14">AV5</f>
        <v>6.2</v>
      </c>
      <c r="AX5" s="409">
        <v>4.5</v>
      </c>
      <c r="AY5" s="409">
        <v>5.6</v>
      </c>
      <c r="AZ5" s="409">
        <f>AY5</f>
        <v>5.6</v>
      </c>
      <c r="BA5" s="409">
        <f t="shared" ref="BA5:BB5" si="15">AZ5</f>
        <v>5.6</v>
      </c>
      <c r="BB5" s="409">
        <f t="shared" si="15"/>
        <v>5.6</v>
      </c>
      <c r="BC5" s="409">
        <v>5.7</v>
      </c>
      <c r="BD5" s="409">
        <f>BC5</f>
        <v>5.7</v>
      </c>
      <c r="BE5" s="409">
        <v>8</v>
      </c>
      <c r="BF5" s="170"/>
      <c r="BG5" s="170"/>
      <c r="BH5" s="170"/>
      <c r="BI5" s="170"/>
      <c r="BJ5" s="170"/>
      <c r="BK5" s="170"/>
      <c r="BL5" s="170"/>
      <c r="BM5" s="170"/>
    </row>
    <row r="6" spans="2:65">
      <c r="B6" s="176" t="s">
        <v>1105</v>
      </c>
      <c r="C6" s="146" t="s">
        <v>318</v>
      </c>
      <c r="D6" s="413"/>
      <c r="E6" s="413">
        <v>22.8</v>
      </c>
      <c r="F6" s="174">
        <v>60</v>
      </c>
      <c r="G6" s="413">
        <v>85</v>
      </c>
      <c r="H6" s="174">
        <v>100</v>
      </c>
      <c r="I6" s="413">
        <v>67</v>
      </c>
      <c r="J6" s="174">
        <v>80</v>
      </c>
      <c r="K6" s="174">
        <v>90</v>
      </c>
      <c r="L6" s="413">
        <v>67</v>
      </c>
      <c r="M6" s="174">
        <v>70</v>
      </c>
      <c r="N6" s="174">
        <v>80</v>
      </c>
      <c r="O6" s="413">
        <v>87</v>
      </c>
      <c r="P6" s="413">
        <v>128.19999999999999</v>
      </c>
      <c r="Q6" s="413">
        <f>P6+2</f>
        <v>130.19999999999999</v>
      </c>
      <c r="R6" s="413">
        <v>94</v>
      </c>
      <c r="S6" s="413">
        <f>$R6</f>
        <v>94</v>
      </c>
      <c r="T6" s="413">
        <f t="shared" si="7"/>
        <v>94</v>
      </c>
      <c r="U6" s="413">
        <f t="shared" si="7"/>
        <v>94</v>
      </c>
      <c r="V6" s="413">
        <v>300</v>
      </c>
      <c r="W6" s="413">
        <f>V6+50</f>
        <v>350</v>
      </c>
      <c r="X6" s="413">
        <f t="shared" ref="X6" si="16">W6+50</f>
        <v>400</v>
      </c>
      <c r="Y6" s="413">
        <v>436</v>
      </c>
      <c r="Z6" s="413">
        <f>Y6+50</f>
        <v>486</v>
      </c>
      <c r="AA6" s="413">
        <f t="shared" ref="AA6" si="17">Z6+50</f>
        <v>536</v>
      </c>
      <c r="AB6" s="413">
        <f>AA6+10</f>
        <v>546</v>
      </c>
      <c r="AC6" s="413">
        <f t="shared" ref="AC6:AM6" si="18">AB6+10</f>
        <v>556</v>
      </c>
      <c r="AD6" s="413">
        <f t="shared" si="18"/>
        <v>566</v>
      </c>
      <c r="AE6" s="413">
        <f t="shared" si="18"/>
        <v>576</v>
      </c>
      <c r="AF6" s="413">
        <f t="shared" si="18"/>
        <v>586</v>
      </c>
      <c r="AG6" s="413">
        <f t="shared" si="18"/>
        <v>596</v>
      </c>
      <c r="AH6" s="413">
        <f t="shared" si="18"/>
        <v>606</v>
      </c>
      <c r="AI6" s="413">
        <f t="shared" si="18"/>
        <v>616</v>
      </c>
      <c r="AJ6" s="413">
        <f t="shared" si="18"/>
        <v>626</v>
      </c>
      <c r="AK6" s="413">
        <f t="shared" si="18"/>
        <v>636</v>
      </c>
      <c r="AL6" s="413">
        <f t="shared" si="18"/>
        <v>646</v>
      </c>
      <c r="AM6" s="413">
        <f t="shared" si="18"/>
        <v>656</v>
      </c>
      <c r="AN6" s="413">
        <v>682</v>
      </c>
      <c r="AO6" s="413">
        <f>AN6+10</f>
        <v>692</v>
      </c>
      <c r="AP6" s="413">
        <f t="shared" ref="AP6:BD6" si="19">AO6+10</f>
        <v>702</v>
      </c>
      <c r="AQ6" s="413">
        <f t="shared" si="19"/>
        <v>712</v>
      </c>
      <c r="AR6" s="413">
        <f t="shared" si="19"/>
        <v>722</v>
      </c>
      <c r="AS6" s="174">
        <v>730</v>
      </c>
      <c r="AT6" s="174">
        <v>740</v>
      </c>
      <c r="AU6" s="174">
        <v>750</v>
      </c>
      <c r="AV6" s="174">
        <v>760</v>
      </c>
      <c r="AW6" s="174">
        <v>770</v>
      </c>
      <c r="AX6" s="413">
        <f>AR6+10</f>
        <v>732</v>
      </c>
      <c r="AY6" s="413">
        <f t="shared" si="19"/>
        <v>742</v>
      </c>
      <c r="AZ6" s="413">
        <f t="shared" si="19"/>
        <v>752</v>
      </c>
      <c r="BA6" s="413">
        <f t="shared" si="19"/>
        <v>762</v>
      </c>
      <c r="BB6" s="413">
        <f t="shared" si="19"/>
        <v>772</v>
      </c>
      <c r="BC6" s="413">
        <f t="shared" si="19"/>
        <v>782</v>
      </c>
      <c r="BD6" s="413">
        <f t="shared" si="19"/>
        <v>792</v>
      </c>
      <c r="BE6" s="413">
        <v>1000</v>
      </c>
      <c r="BF6" s="186"/>
      <c r="BG6" s="186"/>
      <c r="BH6" s="186"/>
      <c r="BI6" s="186"/>
      <c r="BJ6" s="186"/>
      <c r="BK6" s="186"/>
      <c r="BL6" s="186"/>
      <c r="BM6" s="186"/>
    </row>
    <row r="7" spans="2:65" ht="13">
      <c r="B7" s="414" t="s">
        <v>1106</v>
      </c>
    </row>
    <row r="8" spans="2:65">
      <c r="B8" s="176" t="s">
        <v>521</v>
      </c>
      <c r="C8" s="146" t="s">
        <v>1090</v>
      </c>
      <c r="D8" s="178">
        <v>0.86099999999999999</v>
      </c>
      <c r="E8" s="179">
        <f>$D8</f>
        <v>0.86099999999999999</v>
      </c>
      <c r="F8" s="179">
        <f t="shared" ref="F8:O8" si="20">$D8</f>
        <v>0.86099999999999999</v>
      </c>
      <c r="G8" s="179">
        <f t="shared" si="20"/>
        <v>0.86099999999999999</v>
      </c>
      <c r="H8" s="179">
        <f t="shared" si="20"/>
        <v>0.86099999999999999</v>
      </c>
      <c r="I8" s="179">
        <f t="shared" si="20"/>
        <v>0.86099999999999999</v>
      </c>
      <c r="J8" s="179">
        <f t="shared" si="20"/>
        <v>0.86099999999999999</v>
      </c>
      <c r="K8" s="179">
        <f t="shared" si="20"/>
        <v>0.86099999999999999</v>
      </c>
      <c r="L8" s="179">
        <f t="shared" si="20"/>
        <v>0.86099999999999999</v>
      </c>
      <c r="M8" s="179">
        <f t="shared" si="20"/>
        <v>0.86099999999999999</v>
      </c>
      <c r="N8" s="179">
        <f t="shared" si="20"/>
        <v>0.86099999999999999</v>
      </c>
      <c r="O8" s="179">
        <f t="shared" si="20"/>
        <v>0.86099999999999999</v>
      </c>
      <c r="P8" s="178">
        <f>Y8</f>
        <v>0.86099999999999999</v>
      </c>
      <c r="Q8" s="178">
        <f>P8</f>
        <v>0.86099999999999999</v>
      </c>
      <c r="R8" s="179">
        <f t="shared" ref="R8:U11" si="21">$D8</f>
        <v>0.86099999999999999</v>
      </c>
      <c r="S8" s="179">
        <f t="shared" si="21"/>
        <v>0.86099999999999999</v>
      </c>
      <c r="T8" s="179">
        <f t="shared" si="21"/>
        <v>0.86099999999999999</v>
      </c>
      <c r="U8" s="179">
        <f t="shared" si="21"/>
        <v>0.86099999999999999</v>
      </c>
      <c r="V8" s="178">
        <f>Q8</f>
        <v>0.86099999999999999</v>
      </c>
      <c r="W8" s="178">
        <f t="shared" ref="W8:X8" si="22">V8</f>
        <v>0.86099999999999999</v>
      </c>
      <c r="X8" s="178">
        <f t="shared" si="22"/>
        <v>0.86099999999999999</v>
      </c>
      <c r="Y8" s="178">
        <v>0.86099999999999999</v>
      </c>
      <c r="Z8" s="178">
        <f>Y8</f>
        <v>0.86099999999999999</v>
      </c>
      <c r="AA8" s="178">
        <f>Z8</f>
        <v>0.86099999999999999</v>
      </c>
      <c r="AB8" s="178">
        <f>AA8</f>
        <v>0.86099999999999999</v>
      </c>
      <c r="AC8" s="178">
        <f t="shared" ref="AC8:AM8" si="23">AB8</f>
        <v>0.86099999999999999</v>
      </c>
      <c r="AD8" s="178">
        <f t="shared" si="23"/>
        <v>0.86099999999999999</v>
      </c>
      <c r="AE8" s="178">
        <f t="shared" si="23"/>
        <v>0.86099999999999999</v>
      </c>
      <c r="AF8" s="178">
        <f t="shared" si="23"/>
        <v>0.86099999999999999</v>
      </c>
      <c r="AG8" s="178">
        <f t="shared" si="23"/>
        <v>0.86099999999999999</v>
      </c>
      <c r="AH8" s="178">
        <f t="shared" si="23"/>
        <v>0.86099999999999999</v>
      </c>
      <c r="AI8" s="178">
        <f t="shared" si="23"/>
        <v>0.86099999999999999</v>
      </c>
      <c r="AJ8" s="178">
        <f t="shared" si="23"/>
        <v>0.86099999999999999</v>
      </c>
      <c r="AK8" s="178">
        <f t="shared" si="23"/>
        <v>0.86099999999999999</v>
      </c>
      <c r="AL8" s="178">
        <f t="shared" si="23"/>
        <v>0.86099999999999999</v>
      </c>
      <c r="AM8" s="178">
        <f t="shared" si="23"/>
        <v>0.86099999999999999</v>
      </c>
      <c r="AN8" s="178">
        <v>0.89</v>
      </c>
      <c r="AO8" s="178">
        <f>AN8</f>
        <v>0.89</v>
      </c>
      <c r="AP8" s="178">
        <f t="shared" ref="AP8:AR8" si="24">AO8</f>
        <v>0.89</v>
      </c>
      <c r="AQ8" s="178">
        <f t="shared" si="24"/>
        <v>0.89</v>
      </c>
      <c r="AR8" s="178">
        <f t="shared" si="24"/>
        <v>0.89</v>
      </c>
      <c r="AS8" s="178">
        <v>0.89</v>
      </c>
      <c r="AT8" s="178">
        <f>AS8</f>
        <v>0.89</v>
      </c>
      <c r="AU8" s="178">
        <f t="shared" ref="AU8:AU11" si="25">AT8</f>
        <v>0.89</v>
      </c>
      <c r="AV8" s="178">
        <f t="shared" ref="AV8:AV11" si="26">AU8</f>
        <v>0.89</v>
      </c>
      <c r="AW8" s="178">
        <f t="shared" ref="AW8:AW11" si="27">AV8</f>
        <v>0.89</v>
      </c>
      <c r="AX8" s="178">
        <f>AR8</f>
        <v>0.89</v>
      </c>
      <c r="AY8" s="178">
        <f t="shared" ref="AY8:BD8" si="28">AX8</f>
        <v>0.89</v>
      </c>
      <c r="AZ8" s="178">
        <f t="shared" si="28"/>
        <v>0.89</v>
      </c>
      <c r="BA8" s="178">
        <f t="shared" si="28"/>
        <v>0.89</v>
      </c>
      <c r="BB8" s="178">
        <f t="shared" si="28"/>
        <v>0.89</v>
      </c>
      <c r="BC8" s="178">
        <f t="shared" si="28"/>
        <v>0.89</v>
      </c>
      <c r="BD8" s="178">
        <f t="shared" si="28"/>
        <v>0.89</v>
      </c>
      <c r="BE8" s="178">
        <f>BD8</f>
        <v>0.89</v>
      </c>
      <c r="BF8" s="171"/>
      <c r="BG8" s="171"/>
      <c r="BH8" s="171"/>
      <c r="BI8" s="171"/>
      <c r="BJ8" s="171"/>
      <c r="BK8" s="171"/>
      <c r="BL8" s="171"/>
      <c r="BM8" s="171"/>
    </row>
    <row r="9" spans="2:65">
      <c r="B9" s="176" t="s">
        <v>522</v>
      </c>
      <c r="C9" s="146" t="s">
        <v>1090</v>
      </c>
      <c r="D9" s="178">
        <v>7.0000000000000001E-3</v>
      </c>
      <c r="E9" s="179">
        <f t="shared" ref="E9:T15" si="29">$D9</f>
        <v>7.0000000000000001E-3</v>
      </c>
      <c r="F9" s="179">
        <f t="shared" si="29"/>
        <v>7.0000000000000001E-3</v>
      </c>
      <c r="G9" s="179">
        <f t="shared" si="29"/>
        <v>7.0000000000000001E-3</v>
      </c>
      <c r="H9" s="179">
        <f t="shared" si="29"/>
        <v>7.0000000000000001E-3</v>
      </c>
      <c r="I9" s="179">
        <f t="shared" si="29"/>
        <v>7.0000000000000001E-3</v>
      </c>
      <c r="J9" s="179">
        <f t="shared" si="29"/>
        <v>7.0000000000000001E-3</v>
      </c>
      <c r="K9" s="179">
        <f t="shared" si="29"/>
        <v>7.0000000000000001E-3</v>
      </c>
      <c r="L9" s="179">
        <f t="shared" si="29"/>
        <v>7.0000000000000001E-3</v>
      </c>
      <c r="M9" s="179">
        <f t="shared" si="29"/>
        <v>7.0000000000000001E-3</v>
      </c>
      <c r="N9" s="179">
        <f t="shared" si="29"/>
        <v>7.0000000000000001E-3</v>
      </c>
      <c r="O9" s="179">
        <f t="shared" si="29"/>
        <v>7.0000000000000001E-3</v>
      </c>
      <c r="P9" s="178">
        <f t="shared" ref="P9:P11" si="30">Y9</f>
        <v>7.0000000000000001E-3</v>
      </c>
      <c r="Q9" s="178">
        <f t="shared" ref="Q9:X9" si="31">P9</f>
        <v>7.0000000000000001E-3</v>
      </c>
      <c r="R9" s="179">
        <f t="shared" si="21"/>
        <v>7.0000000000000001E-3</v>
      </c>
      <c r="S9" s="179">
        <f t="shared" si="21"/>
        <v>7.0000000000000001E-3</v>
      </c>
      <c r="T9" s="179">
        <f t="shared" si="21"/>
        <v>7.0000000000000001E-3</v>
      </c>
      <c r="U9" s="179">
        <f t="shared" si="21"/>
        <v>7.0000000000000001E-3</v>
      </c>
      <c r="V9" s="178">
        <f>Q9</f>
        <v>7.0000000000000001E-3</v>
      </c>
      <c r="W9" s="178">
        <f t="shared" si="31"/>
        <v>7.0000000000000001E-3</v>
      </c>
      <c r="X9" s="178">
        <f t="shared" si="31"/>
        <v>7.0000000000000001E-3</v>
      </c>
      <c r="Y9" s="178">
        <v>7.0000000000000001E-3</v>
      </c>
      <c r="Z9" s="178">
        <f t="shared" ref="Z9:AA11" si="32">Y9</f>
        <v>7.0000000000000001E-3</v>
      </c>
      <c r="AA9" s="178">
        <f t="shared" si="32"/>
        <v>7.0000000000000001E-3</v>
      </c>
      <c r="AB9" s="178">
        <f t="shared" ref="AB9:AM11" si="33">AA9</f>
        <v>7.0000000000000001E-3</v>
      </c>
      <c r="AC9" s="178">
        <f t="shared" si="33"/>
        <v>7.0000000000000001E-3</v>
      </c>
      <c r="AD9" s="178">
        <f t="shared" si="33"/>
        <v>7.0000000000000001E-3</v>
      </c>
      <c r="AE9" s="178">
        <f t="shared" si="33"/>
        <v>7.0000000000000001E-3</v>
      </c>
      <c r="AF9" s="178">
        <f t="shared" si="33"/>
        <v>7.0000000000000001E-3</v>
      </c>
      <c r="AG9" s="178">
        <f t="shared" si="33"/>
        <v>7.0000000000000001E-3</v>
      </c>
      <c r="AH9" s="178">
        <f t="shared" si="33"/>
        <v>7.0000000000000001E-3</v>
      </c>
      <c r="AI9" s="178">
        <f t="shared" si="33"/>
        <v>7.0000000000000001E-3</v>
      </c>
      <c r="AJ9" s="178">
        <f t="shared" si="33"/>
        <v>7.0000000000000001E-3</v>
      </c>
      <c r="AK9" s="178">
        <f t="shared" si="33"/>
        <v>7.0000000000000001E-3</v>
      </c>
      <c r="AL9" s="178">
        <f t="shared" si="33"/>
        <v>7.0000000000000001E-3</v>
      </c>
      <c r="AM9" s="178">
        <f t="shared" si="33"/>
        <v>7.0000000000000001E-3</v>
      </c>
      <c r="AN9" s="178">
        <v>5.0000000000000001E-3</v>
      </c>
      <c r="AO9" s="178">
        <f t="shared" ref="AO9:AR11" si="34">AN9</f>
        <v>5.0000000000000001E-3</v>
      </c>
      <c r="AP9" s="178">
        <f t="shared" si="34"/>
        <v>5.0000000000000001E-3</v>
      </c>
      <c r="AQ9" s="178">
        <f t="shared" si="34"/>
        <v>5.0000000000000001E-3</v>
      </c>
      <c r="AR9" s="178">
        <f t="shared" si="34"/>
        <v>5.0000000000000001E-3</v>
      </c>
      <c r="AS9" s="178">
        <v>5.0000000000000001E-3</v>
      </c>
      <c r="AT9" s="178">
        <f t="shared" ref="AT9:AT11" si="35">AS9</f>
        <v>5.0000000000000001E-3</v>
      </c>
      <c r="AU9" s="178">
        <f t="shared" si="25"/>
        <v>5.0000000000000001E-3</v>
      </c>
      <c r="AV9" s="178">
        <f t="shared" si="26"/>
        <v>5.0000000000000001E-3</v>
      </c>
      <c r="AW9" s="178">
        <f t="shared" si="27"/>
        <v>5.0000000000000001E-3</v>
      </c>
      <c r="AX9" s="178">
        <f>AR9</f>
        <v>5.0000000000000001E-3</v>
      </c>
      <c r="AY9" s="178">
        <f t="shared" ref="AY9:BD11" si="36">AX9</f>
        <v>5.0000000000000001E-3</v>
      </c>
      <c r="AZ9" s="178">
        <f t="shared" si="36"/>
        <v>5.0000000000000001E-3</v>
      </c>
      <c r="BA9" s="178">
        <f t="shared" si="36"/>
        <v>5.0000000000000001E-3</v>
      </c>
      <c r="BB9" s="178">
        <f t="shared" si="36"/>
        <v>5.0000000000000001E-3</v>
      </c>
      <c r="BC9" s="178">
        <f t="shared" si="36"/>
        <v>5.0000000000000001E-3</v>
      </c>
      <c r="BD9" s="178">
        <f t="shared" si="36"/>
        <v>5.0000000000000001E-3</v>
      </c>
      <c r="BE9" s="178">
        <f t="shared" ref="BE9:BE11" si="37">BD9</f>
        <v>5.0000000000000001E-3</v>
      </c>
      <c r="BF9" s="171"/>
      <c r="BG9" s="171"/>
      <c r="BH9" s="171"/>
      <c r="BI9" s="171"/>
      <c r="BJ9" s="171"/>
      <c r="BK9" s="171"/>
      <c r="BL9" s="171"/>
      <c r="BM9" s="171"/>
    </row>
    <row r="10" spans="2:65">
      <c r="B10" s="176" t="s">
        <v>523</v>
      </c>
      <c r="C10" s="146" t="s">
        <v>1090</v>
      </c>
      <c r="D10" s="178">
        <v>1.2999999999999999E-2</v>
      </c>
      <c r="E10" s="179">
        <f t="shared" si="29"/>
        <v>1.2999999999999999E-2</v>
      </c>
      <c r="F10" s="179">
        <f t="shared" si="29"/>
        <v>1.2999999999999999E-2</v>
      </c>
      <c r="G10" s="179">
        <f t="shared" si="29"/>
        <v>1.2999999999999999E-2</v>
      </c>
      <c r="H10" s="179">
        <f t="shared" si="29"/>
        <v>1.2999999999999999E-2</v>
      </c>
      <c r="I10" s="179">
        <f t="shared" si="29"/>
        <v>1.2999999999999999E-2</v>
      </c>
      <c r="J10" s="179">
        <f t="shared" si="29"/>
        <v>1.2999999999999999E-2</v>
      </c>
      <c r="K10" s="179">
        <f t="shared" si="29"/>
        <v>1.2999999999999999E-2</v>
      </c>
      <c r="L10" s="179">
        <f t="shared" si="29"/>
        <v>1.2999999999999999E-2</v>
      </c>
      <c r="M10" s="179">
        <f t="shared" si="29"/>
        <v>1.2999999999999999E-2</v>
      </c>
      <c r="N10" s="179">
        <f t="shared" si="29"/>
        <v>1.2999999999999999E-2</v>
      </c>
      <c r="O10" s="179">
        <f t="shared" si="29"/>
        <v>1.2999999999999999E-2</v>
      </c>
      <c r="P10" s="178">
        <f t="shared" si="30"/>
        <v>1.2999999999999999E-2</v>
      </c>
      <c r="Q10" s="178">
        <f t="shared" ref="Q10:X10" si="38">P10</f>
        <v>1.2999999999999999E-2</v>
      </c>
      <c r="R10" s="179">
        <f t="shared" si="21"/>
        <v>1.2999999999999999E-2</v>
      </c>
      <c r="S10" s="179">
        <f t="shared" si="21"/>
        <v>1.2999999999999999E-2</v>
      </c>
      <c r="T10" s="179">
        <f t="shared" si="21"/>
        <v>1.2999999999999999E-2</v>
      </c>
      <c r="U10" s="179">
        <f t="shared" si="21"/>
        <v>1.2999999999999999E-2</v>
      </c>
      <c r="V10" s="178">
        <f>Q10</f>
        <v>1.2999999999999999E-2</v>
      </c>
      <c r="W10" s="178">
        <f t="shared" si="38"/>
        <v>1.2999999999999999E-2</v>
      </c>
      <c r="X10" s="178">
        <f t="shared" si="38"/>
        <v>1.2999999999999999E-2</v>
      </c>
      <c r="Y10" s="178">
        <v>1.2999999999999999E-2</v>
      </c>
      <c r="Z10" s="178">
        <f t="shared" si="32"/>
        <v>1.2999999999999999E-2</v>
      </c>
      <c r="AA10" s="178">
        <f t="shared" si="32"/>
        <v>1.2999999999999999E-2</v>
      </c>
      <c r="AB10" s="178">
        <f t="shared" si="33"/>
        <v>1.2999999999999999E-2</v>
      </c>
      <c r="AC10" s="178">
        <f t="shared" si="33"/>
        <v>1.2999999999999999E-2</v>
      </c>
      <c r="AD10" s="178">
        <f t="shared" si="33"/>
        <v>1.2999999999999999E-2</v>
      </c>
      <c r="AE10" s="178">
        <f t="shared" si="33"/>
        <v>1.2999999999999999E-2</v>
      </c>
      <c r="AF10" s="178">
        <f t="shared" si="33"/>
        <v>1.2999999999999999E-2</v>
      </c>
      <c r="AG10" s="178">
        <f t="shared" si="33"/>
        <v>1.2999999999999999E-2</v>
      </c>
      <c r="AH10" s="178">
        <f t="shared" si="33"/>
        <v>1.2999999999999999E-2</v>
      </c>
      <c r="AI10" s="178">
        <f t="shared" si="33"/>
        <v>1.2999999999999999E-2</v>
      </c>
      <c r="AJ10" s="178">
        <f t="shared" si="33"/>
        <v>1.2999999999999999E-2</v>
      </c>
      <c r="AK10" s="178">
        <f t="shared" si="33"/>
        <v>1.2999999999999999E-2</v>
      </c>
      <c r="AL10" s="178">
        <f t="shared" si="33"/>
        <v>1.2999999999999999E-2</v>
      </c>
      <c r="AM10" s="178">
        <f t="shared" si="33"/>
        <v>1.2999999999999999E-2</v>
      </c>
      <c r="AN10" s="178">
        <v>1.0999999999999999E-2</v>
      </c>
      <c r="AO10" s="178">
        <f t="shared" si="34"/>
        <v>1.0999999999999999E-2</v>
      </c>
      <c r="AP10" s="178">
        <f t="shared" si="34"/>
        <v>1.0999999999999999E-2</v>
      </c>
      <c r="AQ10" s="178">
        <f t="shared" si="34"/>
        <v>1.0999999999999999E-2</v>
      </c>
      <c r="AR10" s="178">
        <f t="shared" si="34"/>
        <v>1.0999999999999999E-2</v>
      </c>
      <c r="AS10" s="178">
        <v>1.0999999999999999E-2</v>
      </c>
      <c r="AT10" s="178">
        <f t="shared" si="35"/>
        <v>1.0999999999999999E-2</v>
      </c>
      <c r="AU10" s="178">
        <f t="shared" si="25"/>
        <v>1.0999999999999999E-2</v>
      </c>
      <c r="AV10" s="178">
        <f t="shared" si="26"/>
        <v>1.0999999999999999E-2</v>
      </c>
      <c r="AW10" s="178">
        <f t="shared" si="27"/>
        <v>1.0999999999999999E-2</v>
      </c>
      <c r="AX10" s="178">
        <f>AR10</f>
        <v>1.0999999999999999E-2</v>
      </c>
      <c r="AY10" s="178">
        <f t="shared" si="36"/>
        <v>1.0999999999999999E-2</v>
      </c>
      <c r="AZ10" s="178">
        <f t="shared" si="36"/>
        <v>1.0999999999999999E-2</v>
      </c>
      <c r="BA10" s="178">
        <f t="shared" si="36"/>
        <v>1.0999999999999999E-2</v>
      </c>
      <c r="BB10" s="178">
        <f t="shared" si="36"/>
        <v>1.0999999999999999E-2</v>
      </c>
      <c r="BC10" s="178">
        <f t="shared" si="36"/>
        <v>1.0999999999999999E-2</v>
      </c>
      <c r="BD10" s="178">
        <f t="shared" si="36"/>
        <v>1.0999999999999999E-2</v>
      </c>
      <c r="BE10" s="178">
        <f t="shared" si="37"/>
        <v>1.0999999999999999E-2</v>
      </c>
      <c r="BF10" s="171"/>
      <c r="BG10" s="171"/>
      <c r="BH10" s="171"/>
      <c r="BI10" s="171"/>
      <c r="BJ10" s="171"/>
      <c r="BK10" s="171"/>
      <c r="BL10" s="171"/>
      <c r="BM10" s="171"/>
    </row>
    <row r="11" spans="2:65">
      <c r="B11" s="176" t="s">
        <v>524</v>
      </c>
      <c r="C11" s="146" t="s">
        <v>1090</v>
      </c>
      <c r="D11" s="178">
        <v>7.2999999999999995E-2</v>
      </c>
      <c r="E11" s="179">
        <f t="shared" si="29"/>
        <v>7.2999999999999995E-2</v>
      </c>
      <c r="F11" s="179">
        <f t="shared" si="29"/>
        <v>7.2999999999999995E-2</v>
      </c>
      <c r="G11" s="179">
        <f t="shared" si="29"/>
        <v>7.2999999999999995E-2</v>
      </c>
      <c r="H11" s="179">
        <f t="shared" si="29"/>
        <v>7.2999999999999995E-2</v>
      </c>
      <c r="I11" s="179">
        <f t="shared" si="29"/>
        <v>7.2999999999999995E-2</v>
      </c>
      <c r="J11" s="179">
        <f t="shared" si="29"/>
        <v>7.2999999999999995E-2</v>
      </c>
      <c r="K11" s="179">
        <f t="shared" si="29"/>
        <v>7.2999999999999995E-2</v>
      </c>
      <c r="L11" s="179">
        <f t="shared" si="29"/>
        <v>7.2999999999999995E-2</v>
      </c>
      <c r="M11" s="179">
        <f t="shared" si="29"/>
        <v>7.2999999999999995E-2</v>
      </c>
      <c r="N11" s="179">
        <f t="shared" si="29"/>
        <v>7.2999999999999995E-2</v>
      </c>
      <c r="O11" s="179">
        <f t="shared" si="29"/>
        <v>7.2999999999999995E-2</v>
      </c>
      <c r="P11" s="178">
        <f t="shared" si="30"/>
        <v>7.2999999999999995E-2</v>
      </c>
      <c r="Q11" s="178">
        <f t="shared" ref="Q11:X11" si="39">P11</f>
        <v>7.2999999999999995E-2</v>
      </c>
      <c r="R11" s="179">
        <f t="shared" si="21"/>
        <v>7.2999999999999995E-2</v>
      </c>
      <c r="S11" s="179">
        <f t="shared" si="21"/>
        <v>7.2999999999999995E-2</v>
      </c>
      <c r="T11" s="179">
        <f t="shared" si="21"/>
        <v>7.2999999999999995E-2</v>
      </c>
      <c r="U11" s="179">
        <f t="shared" si="21"/>
        <v>7.2999999999999995E-2</v>
      </c>
      <c r="V11" s="178">
        <f>Q11</f>
        <v>7.2999999999999995E-2</v>
      </c>
      <c r="W11" s="178">
        <f t="shared" si="39"/>
        <v>7.2999999999999995E-2</v>
      </c>
      <c r="X11" s="178">
        <f t="shared" si="39"/>
        <v>7.2999999999999995E-2</v>
      </c>
      <c r="Y11" s="178">
        <v>7.2999999999999995E-2</v>
      </c>
      <c r="Z11" s="178">
        <f t="shared" si="32"/>
        <v>7.2999999999999995E-2</v>
      </c>
      <c r="AA11" s="178">
        <f t="shared" si="32"/>
        <v>7.2999999999999995E-2</v>
      </c>
      <c r="AB11" s="178">
        <f t="shared" si="33"/>
        <v>7.2999999999999995E-2</v>
      </c>
      <c r="AC11" s="178">
        <f t="shared" si="33"/>
        <v>7.2999999999999995E-2</v>
      </c>
      <c r="AD11" s="178">
        <f t="shared" si="33"/>
        <v>7.2999999999999995E-2</v>
      </c>
      <c r="AE11" s="178">
        <f t="shared" si="33"/>
        <v>7.2999999999999995E-2</v>
      </c>
      <c r="AF11" s="178">
        <f t="shared" si="33"/>
        <v>7.2999999999999995E-2</v>
      </c>
      <c r="AG11" s="178">
        <f t="shared" si="33"/>
        <v>7.2999999999999995E-2</v>
      </c>
      <c r="AH11" s="178">
        <f t="shared" si="33"/>
        <v>7.2999999999999995E-2</v>
      </c>
      <c r="AI11" s="178">
        <f t="shared" si="33"/>
        <v>7.2999999999999995E-2</v>
      </c>
      <c r="AJ11" s="178">
        <f t="shared" si="33"/>
        <v>7.2999999999999995E-2</v>
      </c>
      <c r="AK11" s="178">
        <f t="shared" si="33"/>
        <v>7.2999999999999995E-2</v>
      </c>
      <c r="AL11" s="178">
        <f t="shared" si="33"/>
        <v>7.2999999999999995E-2</v>
      </c>
      <c r="AM11" s="178">
        <f t="shared" si="33"/>
        <v>7.2999999999999995E-2</v>
      </c>
      <c r="AN11" s="178">
        <v>6.0000000000000001E-3</v>
      </c>
      <c r="AO11" s="178">
        <f t="shared" si="34"/>
        <v>6.0000000000000001E-3</v>
      </c>
      <c r="AP11" s="178">
        <f t="shared" si="34"/>
        <v>6.0000000000000001E-3</v>
      </c>
      <c r="AQ11" s="178">
        <f t="shared" si="34"/>
        <v>6.0000000000000001E-3</v>
      </c>
      <c r="AR11" s="178">
        <f t="shared" si="34"/>
        <v>6.0000000000000001E-3</v>
      </c>
      <c r="AS11" s="178">
        <v>6.0000000000000001E-3</v>
      </c>
      <c r="AT11" s="178">
        <f t="shared" si="35"/>
        <v>6.0000000000000001E-3</v>
      </c>
      <c r="AU11" s="178">
        <f t="shared" si="25"/>
        <v>6.0000000000000001E-3</v>
      </c>
      <c r="AV11" s="178">
        <f t="shared" si="26"/>
        <v>6.0000000000000001E-3</v>
      </c>
      <c r="AW11" s="178">
        <f t="shared" si="27"/>
        <v>6.0000000000000001E-3</v>
      </c>
      <c r="AX11" s="178">
        <f>AR11</f>
        <v>6.0000000000000001E-3</v>
      </c>
      <c r="AY11" s="178">
        <f t="shared" si="36"/>
        <v>6.0000000000000001E-3</v>
      </c>
      <c r="AZ11" s="178">
        <f t="shared" si="36"/>
        <v>6.0000000000000001E-3</v>
      </c>
      <c r="BA11" s="178">
        <f t="shared" si="36"/>
        <v>6.0000000000000001E-3</v>
      </c>
      <c r="BB11" s="178">
        <f t="shared" si="36"/>
        <v>6.0000000000000001E-3</v>
      </c>
      <c r="BC11" s="178">
        <f t="shared" si="36"/>
        <v>6.0000000000000001E-3</v>
      </c>
      <c r="BD11" s="178">
        <f t="shared" si="36"/>
        <v>6.0000000000000001E-3</v>
      </c>
      <c r="BE11" s="178">
        <f t="shared" si="37"/>
        <v>6.0000000000000001E-3</v>
      </c>
      <c r="BF11" s="171"/>
      <c r="BG11" s="171"/>
      <c r="BH11" s="171"/>
      <c r="BI11" s="171"/>
      <c r="BJ11" s="171"/>
      <c r="BK11" s="171"/>
      <c r="BL11" s="171"/>
      <c r="BM11" s="171"/>
    </row>
    <row r="12" spans="2:65" ht="13">
      <c r="B12" s="414" t="s">
        <v>1107</v>
      </c>
      <c r="BF12" s="180"/>
      <c r="BG12" s="180"/>
      <c r="BH12" s="180"/>
      <c r="BI12" s="180"/>
      <c r="BJ12" s="180"/>
      <c r="BK12" s="180"/>
      <c r="BL12" s="180"/>
      <c r="BM12" s="180"/>
    </row>
    <row r="13" spans="2:65">
      <c r="B13" s="176" t="s">
        <v>525</v>
      </c>
      <c r="C13" s="146" t="s">
        <v>1090</v>
      </c>
      <c r="D13" s="178">
        <v>8.0000000000000002E-3</v>
      </c>
      <c r="E13" s="179">
        <f t="shared" si="29"/>
        <v>8.0000000000000002E-3</v>
      </c>
      <c r="F13" s="179">
        <f t="shared" si="29"/>
        <v>8.0000000000000002E-3</v>
      </c>
      <c r="G13" s="179">
        <f t="shared" si="29"/>
        <v>8.0000000000000002E-3</v>
      </c>
      <c r="H13" s="179">
        <f t="shared" si="29"/>
        <v>8.0000000000000002E-3</v>
      </c>
      <c r="I13" s="179">
        <f t="shared" si="29"/>
        <v>8.0000000000000002E-3</v>
      </c>
      <c r="J13" s="179">
        <f t="shared" si="29"/>
        <v>8.0000000000000002E-3</v>
      </c>
      <c r="K13" s="179">
        <f t="shared" si="29"/>
        <v>8.0000000000000002E-3</v>
      </c>
      <c r="L13" s="179">
        <f t="shared" si="29"/>
        <v>8.0000000000000002E-3</v>
      </c>
      <c r="M13" s="179">
        <f t="shared" si="29"/>
        <v>8.0000000000000002E-3</v>
      </c>
      <c r="N13" s="179">
        <f t="shared" si="29"/>
        <v>8.0000000000000002E-3</v>
      </c>
      <c r="O13" s="179">
        <f t="shared" si="29"/>
        <v>8.0000000000000002E-3</v>
      </c>
      <c r="P13" s="179">
        <f t="shared" si="29"/>
        <v>8.0000000000000002E-3</v>
      </c>
      <c r="Q13" s="179">
        <f t="shared" si="29"/>
        <v>8.0000000000000002E-3</v>
      </c>
      <c r="R13" s="179">
        <f t="shared" si="29"/>
        <v>8.0000000000000002E-3</v>
      </c>
      <c r="S13" s="179">
        <f t="shared" si="29"/>
        <v>8.0000000000000002E-3</v>
      </c>
      <c r="T13" s="179">
        <f t="shared" si="29"/>
        <v>8.0000000000000002E-3</v>
      </c>
      <c r="U13" s="179">
        <f t="shared" ref="F13:X15" si="40">$D13</f>
        <v>8.0000000000000002E-3</v>
      </c>
      <c r="V13" s="179">
        <f t="shared" si="40"/>
        <v>8.0000000000000002E-3</v>
      </c>
      <c r="W13" s="179">
        <f t="shared" si="40"/>
        <v>8.0000000000000002E-3</v>
      </c>
      <c r="X13" s="179">
        <f t="shared" si="40"/>
        <v>8.0000000000000002E-3</v>
      </c>
      <c r="Y13" s="178">
        <v>8.0000000000000002E-3</v>
      </c>
      <c r="Z13" s="178">
        <f>Y13</f>
        <v>8.0000000000000002E-3</v>
      </c>
      <c r="AA13" s="178">
        <f>Z13</f>
        <v>8.0000000000000002E-3</v>
      </c>
      <c r="AB13" s="179">
        <f t="shared" ref="AB13:AM15" si="41">$D13</f>
        <v>8.0000000000000002E-3</v>
      </c>
      <c r="AC13" s="179">
        <f t="shared" si="41"/>
        <v>8.0000000000000002E-3</v>
      </c>
      <c r="AD13" s="179">
        <f t="shared" si="41"/>
        <v>8.0000000000000002E-3</v>
      </c>
      <c r="AE13" s="179">
        <f t="shared" si="41"/>
        <v>8.0000000000000002E-3</v>
      </c>
      <c r="AF13" s="179">
        <f t="shared" si="41"/>
        <v>8.0000000000000002E-3</v>
      </c>
      <c r="AG13" s="179">
        <f t="shared" si="41"/>
        <v>8.0000000000000002E-3</v>
      </c>
      <c r="AH13" s="179">
        <f t="shared" si="41"/>
        <v>8.0000000000000002E-3</v>
      </c>
      <c r="AI13" s="179">
        <f t="shared" si="41"/>
        <v>8.0000000000000002E-3</v>
      </c>
      <c r="AJ13" s="179">
        <f t="shared" si="41"/>
        <v>8.0000000000000002E-3</v>
      </c>
      <c r="AK13" s="179">
        <f t="shared" si="41"/>
        <v>8.0000000000000002E-3</v>
      </c>
      <c r="AL13" s="179">
        <f t="shared" si="41"/>
        <v>8.0000000000000002E-3</v>
      </c>
      <c r="AM13" s="179">
        <f t="shared" si="41"/>
        <v>8.0000000000000002E-3</v>
      </c>
      <c r="AN13" s="178">
        <v>2E-3</v>
      </c>
      <c r="AO13" s="178">
        <f>AN13</f>
        <v>2E-3</v>
      </c>
      <c r="AP13" s="178">
        <f t="shared" ref="AP13:AR13" si="42">AO13</f>
        <v>2E-3</v>
      </c>
      <c r="AQ13" s="178">
        <f t="shared" si="42"/>
        <v>2E-3</v>
      </c>
      <c r="AR13" s="178">
        <f t="shared" si="42"/>
        <v>2E-3</v>
      </c>
      <c r="AS13" s="179">
        <f t="shared" ref="AS13:BE15" si="43">$D13</f>
        <v>8.0000000000000002E-3</v>
      </c>
      <c r="AT13" s="179">
        <f t="shared" si="43"/>
        <v>8.0000000000000002E-3</v>
      </c>
      <c r="AU13" s="179">
        <f t="shared" si="43"/>
        <v>8.0000000000000002E-3</v>
      </c>
      <c r="AV13" s="179">
        <f t="shared" si="43"/>
        <v>8.0000000000000002E-3</v>
      </c>
      <c r="AW13" s="179">
        <f t="shared" si="43"/>
        <v>8.0000000000000002E-3</v>
      </c>
      <c r="AX13" s="179">
        <f t="shared" si="43"/>
        <v>8.0000000000000002E-3</v>
      </c>
      <c r="AY13" s="179">
        <f t="shared" si="43"/>
        <v>8.0000000000000002E-3</v>
      </c>
      <c r="AZ13" s="179">
        <f t="shared" si="43"/>
        <v>8.0000000000000002E-3</v>
      </c>
      <c r="BA13" s="179">
        <f t="shared" si="43"/>
        <v>8.0000000000000002E-3</v>
      </c>
      <c r="BB13" s="179">
        <f t="shared" si="43"/>
        <v>8.0000000000000002E-3</v>
      </c>
      <c r="BC13" s="179">
        <f t="shared" si="43"/>
        <v>8.0000000000000002E-3</v>
      </c>
      <c r="BD13" s="179">
        <f t="shared" si="43"/>
        <v>8.0000000000000002E-3</v>
      </c>
      <c r="BE13" s="179">
        <f t="shared" si="43"/>
        <v>8.0000000000000002E-3</v>
      </c>
      <c r="BF13" s="171"/>
      <c r="BG13" s="171"/>
      <c r="BH13" s="171"/>
      <c r="BI13" s="171"/>
      <c r="BJ13" s="171"/>
      <c r="BK13" s="171"/>
      <c r="BL13" s="171"/>
      <c r="BM13" s="171"/>
    </row>
    <row r="14" spans="2:65">
      <c r="B14" s="176" t="s">
        <v>526</v>
      </c>
      <c r="C14" s="146" t="s">
        <v>1090</v>
      </c>
      <c r="D14" s="178">
        <v>3.5000000000000003E-2</v>
      </c>
      <c r="E14" s="179">
        <f t="shared" si="29"/>
        <v>3.5000000000000003E-2</v>
      </c>
      <c r="F14" s="179">
        <f t="shared" si="40"/>
        <v>3.5000000000000003E-2</v>
      </c>
      <c r="G14" s="179">
        <f t="shared" si="40"/>
        <v>3.5000000000000003E-2</v>
      </c>
      <c r="H14" s="179">
        <f t="shared" si="40"/>
        <v>3.5000000000000003E-2</v>
      </c>
      <c r="I14" s="179">
        <f t="shared" si="40"/>
        <v>3.5000000000000003E-2</v>
      </c>
      <c r="J14" s="179">
        <f t="shared" si="40"/>
        <v>3.5000000000000003E-2</v>
      </c>
      <c r="K14" s="179">
        <f t="shared" si="40"/>
        <v>3.5000000000000003E-2</v>
      </c>
      <c r="L14" s="179">
        <f t="shared" si="40"/>
        <v>3.5000000000000003E-2</v>
      </c>
      <c r="M14" s="179">
        <f t="shared" si="40"/>
        <v>3.5000000000000003E-2</v>
      </c>
      <c r="N14" s="179">
        <f t="shared" si="40"/>
        <v>3.5000000000000003E-2</v>
      </c>
      <c r="O14" s="179">
        <f t="shared" si="40"/>
        <v>3.5000000000000003E-2</v>
      </c>
      <c r="P14" s="179">
        <f t="shared" si="40"/>
        <v>3.5000000000000003E-2</v>
      </c>
      <c r="Q14" s="179">
        <f t="shared" si="40"/>
        <v>3.5000000000000003E-2</v>
      </c>
      <c r="R14" s="179">
        <f t="shared" si="40"/>
        <v>3.5000000000000003E-2</v>
      </c>
      <c r="S14" s="179">
        <f t="shared" si="40"/>
        <v>3.5000000000000003E-2</v>
      </c>
      <c r="T14" s="179">
        <f t="shared" si="40"/>
        <v>3.5000000000000003E-2</v>
      </c>
      <c r="U14" s="179">
        <f t="shared" si="40"/>
        <v>3.5000000000000003E-2</v>
      </c>
      <c r="V14" s="179">
        <f t="shared" si="40"/>
        <v>3.5000000000000003E-2</v>
      </c>
      <c r="W14" s="179">
        <f t="shared" si="40"/>
        <v>3.5000000000000003E-2</v>
      </c>
      <c r="X14" s="179">
        <f t="shared" si="40"/>
        <v>3.5000000000000003E-2</v>
      </c>
      <c r="Y14" s="178">
        <v>3.5000000000000003E-2</v>
      </c>
      <c r="Z14" s="178">
        <f t="shared" ref="Z14:AA14" si="44">Y14</f>
        <v>3.5000000000000003E-2</v>
      </c>
      <c r="AA14" s="178">
        <f t="shared" si="44"/>
        <v>3.5000000000000003E-2</v>
      </c>
      <c r="AB14" s="179">
        <f t="shared" si="41"/>
        <v>3.5000000000000003E-2</v>
      </c>
      <c r="AC14" s="179">
        <f t="shared" si="41"/>
        <v>3.5000000000000003E-2</v>
      </c>
      <c r="AD14" s="179">
        <f t="shared" si="41"/>
        <v>3.5000000000000003E-2</v>
      </c>
      <c r="AE14" s="179">
        <f t="shared" si="41"/>
        <v>3.5000000000000003E-2</v>
      </c>
      <c r="AF14" s="179">
        <f t="shared" si="41"/>
        <v>3.5000000000000003E-2</v>
      </c>
      <c r="AG14" s="179">
        <f t="shared" si="41"/>
        <v>3.5000000000000003E-2</v>
      </c>
      <c r="AH14" s="179">
        <f t="shared" si="41"/>
        <v>3.5000000000000003E-2</v>
      </c>
      <c r="AI14" s="179">
        <f t="shared" si="41"/>
        <v>3.5000000000000003E-2</v>
      </c>
      <c r="AJ14" s="179">
        <f t="shared" si="41"/>
        <v>3.5000000000000003E-2</v>
      </c>
      <c r="AK14" s="179">
        <f t="shared" si="41"/>
        <v>3.5000000000000003E-2</v>
      </c>
      <c r="AL14" s="179">
        <f t="shared" si="41"/>
        <v>3.5000000000000003E-2</v>
      </c>
      <c r="AM14" s="179">
        <f t="shared" si="41"/>
        <v>3.5000000000000003E-2</v>
      </c>
      <c r="AN14" s="178">
        <v>5.7000000000000002E-2</v>
      </c>
      <c r="AO14" s="178">
        <f t="shared" ref="AO14:AR14" si="45">AN14</f>
        <v>5.7000000000000002E-2</v>
      </c>
      <c r="AP14" s="178">
        <f t="shared" si="45"/>
        <v>5.7000000000000002E-2</v>
      </c>
      <c r="AQ14" s="178">
        <f t="shared" si="45"/>
        <v>5.7000000000000002E-2</v>
      </c>
      <c r="AR14" s="178">
        <f t="shared" si="45"/>
        <v>5.7000000000000002E-2</v>
      </c>
      <c r="AS14" s="179">
        <f t="shared" si="43"/>
        <v>3.5000000000000003E-2</v>
      </c>
      <c r="AT14" s="179">
        <f t="shared" si="43"/>
        <v>3.5000000000000003E-2</v>
      </c>
      <c r="AU14" s="179">
        <f t="shared" si="43"/>
        <v>3.5000000000000003E-2</v>
      </c>
      <c r="AV14" s="179">
        <f t="shared" si="43"/>
        <v>3.5000000000000003E-2</v>
      </c>
      <c r="AW14" s="179">
        <f t="shared" si="43"/>
        <v>3.5000000000000003E-2</v>
      </c>
      <c r="AX14" s="179">
        <f t="shared" si="43"/>
        <v>3.5000000000000003E-2</v>
      </c>
      <c r="AY14" s="179">
        <f t="shared" si="43"/>
        <v>3.5000000000000003E-2</v>
      </c>
      <c r="AZ14" s="179">
        <f t="shared" si="43"/>
        <v>3.5000000000000003E-2</v>
      </c>
      <c r="BA14" s="179">
        <f t="shared" si="43"/>
        <v>3.5000000000000003E-2</v>
      </c>
      <c r="BB14" s="179">
        <f t="shared" si="43"/>
        <v>3.5000000000000003E-2</v>
      </c>
      <c r="BC14" s="179">
        <f t="shared" si="43"/>
        <v>3.5000000000000003E-2</v>
      </c>
      <c r="BD14" s="179">
        <f t="shared" si="43"/>
        <v>3.5000000000000003E-2</v>
      </c>
      <c r="BE14" s="179">
        <f t="shared" si="43"/>
        <v>3.5000000000000003E-2</v>
      </c>
      <c r="BF14" s="171"/>
      <c r="BG14" s="171"/>
      <c r="BH14" s="171"/>
      <c r="BI14" s="171"/>
      <c r="BJ14" s="171"/>
      <c r="BK14" s="171"/>
      <c r="BL14" s="171"/>
      <c r="BM14" s="171"/>
    </row>
    <row r="15" spans="2:65">
      <c r="B15" s="176" t="s">
        <v>527</v>
      </c>
      <c r="C15" s="146" t="s">
        <v>1090</v>
      </c>
      <c r="D15" s="178">
        <v>2.7E-2</v>
      </c>
      <c r="E15" s="179">
        <f t="shared" si="29"/>
        <v>2.7E-2</v>
      </c>
      <c r="F15" s="179">
        <f t="shared" si="40"/>
        <v>2.7E-2</v>
      </c>
      <c r="G15" s="179">
        <f t="shared" si="40"/>
        <v>2.7E-2</v>
      </c>
      <c r="H15" s="179">
        <f t="shared" si="40"/>
        <v>2.7E-2</v>
      </c>
      <c r="I15" s="179">
        <f t="shared" si="40"/>
        <v>2.7E-2</v>
      </c>
      <c r="J15" s="179">
        <f t="shared" si="40"/>
        <v>2.7E-2</v>
      </c>
      <c r="K15" s="179">
        <f t="shared" si="40"/>
        <v>2.7E-2</v>
      </c>
      <c r="L15" s="179">
        <f t="shared" si="40"/>
        <v>2.7E-2</v>
      </c>
      <c r="M15" s="179">
        <f t="shared" si="40"/>
        <v>2.7E-2</v>
      </c>
      <c r="N15" s="179">
        <f t="shared" si="40"/>
        <v>2.7E-2</v>
      </c>
      <c r="O15" s="179">
        <f t="shared" si="40"/>
        <v>2.7E-2</v>
      </c>
      <c r="P15" s="179">
        <f t="shared" si="40"/>
        <v>2.7E-2</v>
      </c>
      <c r="Q15" s="179">
        <f t="shared" si="40"/>
        <v>2.7E-2</v>
      </c>
      <c r="R15" s="179">
        <f t="shared" si="40"/>
        <v>2.7E-2</v>
      </c>
      <c r="S15" s="179">
        <f t="shared" si="40"/>
        <v>2.7E-2</v>
      </c>
      <c r="T15" s="179">
        <f t="shared" si="40"/>
        <v>2.7E-2</v>
      </c>
      <c r="U15" s="179">
        <f t="shared" si="40"/>
        <v>2.7E-2</v>
      </c>
      <c r="V15" s="179">
        <f t="shared" si="40"/>
        <v>2.7E-2</v>
      </c>
      <c r="W15" s="179">
        <f t="shared" si="40"/>
        <v>2.7E-2</v>
      </c>
      <c r="X15" s="179">
        <f t="shared" si="40"/>
        <v>2.7E-2</v>
      </c>
      <c r="Y15" s="178">
        <v>2.7E-2</v>
      </c>
      <c r="Z15" s="178">
        <f t="shared" ref="Z15:AA15" si="46">Y15</f>
        <v>2.7E-2</v>
      </c>
      <c r="AA15" s="178">
        <f t="shared" si="46"/>
        <v>2.7E-2</v>
      </c>
      <c r="AB15" s="179">
        <f t="shared" si="41"/>
        <v>2.7E-2</v>
      </c>
      <c r="AC15" s="179">
        <f t="shared" si="41"/>
        <v>2.7E-2</v>
      </c>
      <c r="AD15" s="179">
        <f t="shared" si="41"/>
        <v>2.7E-2</v>
      </c>
      <c r="AE15" s="179">
        <f t="shared" si="41"/>
        <v>2.7E-2</v>
      </c>
      <c r="AF15" s="179">
        <f t="shared" si="41"/>
        <v>2.7E-2</v>
      </c>
      <c r="AG15" s="179">
        <f t="shared" si="41"/>
        <v>2.7E-2</v>
      </c>
      <c r="AH15" s="179">
        <f t="shared" si="41"/>
        <v>2.7E-2</v>
      </c>
      <c r="AI15" s="179">
        <f t="shared" si="41"/>
        <v>2.7E-2</v>
      </c>
      <c r="AJ15" s="179">
        <f t="shared" si="41"/>
        <v>2.7E-2</v>
      </c>
      <c r="AK15" s="179">
        <f t="shared" si="41"/>
        <v>2.7E-2</v>
      </c>
      <c r="AL15" s="179">
        <f t="shared" si="41"/>
        <v>2.7E-2</v>
      </c>
      <c r="AM15" s="179">
        <f t="shared" si="41"/>
        <v>2.7E-2</v>
      </c>
      <c r="AN15" s="178">
        <v>2.7E-2</v>
      </c>
      <c r="AO15" s="178">
        <f t="shared" ref="AO15:AR15" si="47">AN15</f>
        <v>2.7E-2</v>
      </c>
      <c r="AP15" s="178">
        <f t="shared" si="47"/>
        <v>2.7E-2</v>
      </c>
      <c r="AQ15" s="178">
        <f t="shared" si="47"/>
        <v>2.7E-2</v>
      </c>
      <c r="AR15" s="178">
        <f t="shared" si="47"/>
        <v>2.7E-2</v>
      </c>
      <c r="AS15" s="179">
        <f t="shared" si="43"/>
        <v>2.7E-2</v>
      </c>
      <c r="AT15" s="179">
        <f t="shared" si="43"/>
        <v>2.7E-2</v>
      </c>
      <c r="AU15" s="179">
        <f t="shared" si="43"/>
        <v>2.7E-2</v>
      </c>
      <c r="AV15" s="179">
        <f t="shared" si="43"/>
        <v>2.7E-2</v>
      </c>
      <c r="AW15" s="179">
        <f t="shared" si="43"/>
        <v>2.7E-2</v>
      </c>
      <c r="AX15" s="179">
        <f t="shared" si="43"/>
        <v>2.7E-2</v>
      </c>
      <c r="AY15" s="179">
        <f t="shared" si="43"/>
        <v>2.7E-2</v>
      </c>
      <c r="AZ15" s="179">
        <f t="shared" si="43"/>
        <v>2.7E-2</v>
      </c>
      <c r="BA15" s="179">
        <f t="shared" si="43"/>
        <v>2.7E-2</v>
      </c>
      <c r="BB15" s="179">
        <f t="shared" si="43"/>
        <v>2.7E-2</v>
      </c>
      <c r="BC15" s="179">
        <f t="shared" si="43"/>
        <v>2.7E-2</v>
      </c>
      <c r="BD15" s="179">
        <f t="shared" si="43"/>
        <v>2.7E-2</v>
      </c>
      <c r="BE15" s="179">
        <f t="shared" si="43"/>
        <v>2.7E-2</v>
      </c>
      <c r="BF15" s="171"/>
      <c r="BG15" s="171"/>
      <c r="BH15" s="171"/>
      <c r="BI15" s="171"/>
      <c r="BJ15" s="171"/>
      <c r="BK15" s="171"/>
      <c r="BL15" s="171"/>
      <c r="BM15" s="171"/>
    </row>
    <row r="16" spans="2:65" ht="13">
      <c r="B16" s="414" t="s">
        <v>1108</v>
      </c>
    </row>
    <row r="17" spans="2:65">
      <c r="B17" s="176" t="s">
        <v>1109</v>
      </c>
      <c r="C17" s="146" t="s">
        <v>299</v>
      </c>
      <c r="D17" s="413"/>
      <c r="E17" s="413">
        <v>27</v>
      </c>
      <c r="F17" s="413">
        <v>39</v>
      </c>
      <c r="G17" s="413">
        <v>39</v>
      </c>
      <c r="H17" s="413">
        <v>42</v>
      </c>
      <c r="I17" s="413">
        <v>42</v>
      </c>
      <c r="J17" s="413">
        <v>44</v>
      </c>
      <c r="K17" s="413">
        <v>42</v>
      </c>
      <c r="L17" s="413">
        <v>42</v>
      </c>
      <c r="M17" s="174">
        <v>42</v>
      </c>
      <c r="N17" s="174">
        <v>42</v>
      </c>
      <c r="O17" s="174">
        <v>42</v>
      </c>
      <c r="P17" s="413">
        <v>43.7</v>
      </c>
      <c r="Q17" s="413">
        <v>43.7</v>
      </c>
      <c r="R17" s="413">
        <v>47</v>
      </c>
      <c r="S17" s="413">
        <v>47</v>
      </c>
      <c r="T17" s="413">
        <v>47</v>
      </c>
      <c r="U17" s="413">
        <v>47</v>
      </c>
      <c r="V17" s="413">
        <v>112</v>
      </c>
      <c r="W17" s="413">
        <v>112</v>
      </c>
      <c r="X17" s="413">
        <v>112</v>
      </c>
      <c r="Y17" s="413">
        <v>117</v>
      </c>
      <c r="Z17" s="413">
        <v>117</v>
      </c>
      <c r="AA17" s="413">
        <v>117</v>
      </c>
      <c r="AB17" s="413">
        <v>136</v>
      </c>
      <c r="AC17" s="413">
        <v>136</v>
      </c>
      <c r="AD17" s="413">
        <v>136</v>
      </c>
      <c r="AE17" s="413">
        <v>136</v>
      </c>
      <c r="AF17" s="413">
        <v>137</v>
      </c>
      <c r="AG17" s="413">
        <v>137</v>
      </c>
      <c r="AH17" s="413">
        <v>137</v>
      </c>
      <c r="AI17" s="413">
        <v>137</v>
      </c>
      <c r="AJ17" s="413">
        <v>130</v>
      </c>
      <c r="AK17" s="413">
        <v>130</v>
      </c>
      <c r="AL17" s="413">
        <v>130</v>
      </c>
      <c r="AM17" s="413">
        <v>130</v>
      </c>
      <c r="AN17" s="413">
        <v>150</v>
      </c>
      <c r="AO17" s="413">
        <v>150</v>
      </c>
      <c r="AP17" s="413">
        <v>150</v>
      </c>
      <c r="AQ17" s="413">
        <v>150</v>
      </c>
      <c r="AR17" s="413">
        <v>150</v>
      </c>
      <c r="AS17" s="413">
        <v>162</v>
      </c>
      <c r="AT17" s="413">
        <v>162</v>
      </c>
      <c r="AU17" s="413">
        <v>162</v>
      </c>
      <c r="AV17" s="413">
        <v>162</v>
      </c>
      <c r="AW17" s="413">
        <v>162</v>
      </c>
      <c r="AX17" s="413">
        <v>155</v>
      </c>
      <c r="AY17" s="413">
        <v>162</v>
      </c>
      <c r="AZ17" s="413">
        <v>162</v>
      </c>
      <c r="BA17" s="413">
        <v>162</v>
      </c>
      <c r="BB17" s="413">
        <v>162</v>
      </c>
      <c r="BC17" s="413">
        <v>163</v>
      </c>
      <c r="BD17" s="413">
        <v>163</v>
      </c>
      <c r="BE17" s="413">
        <v>182</v>
      </c>
      <c r="BF17" s="186"/>
      <c r="BG17" s="186"/>
      <c r="BH17" s="186"/>
      <c r="BI17" s="186"/>
      <c r="BJ17" s="186"/>
      <c r="BK17" s="186"/>
      <c r="BL17" s="186"/>
      <c r="BM17" s="186"/>
    </row>
    <row r="18" spans="2:65">
      <c r="B18" s="176" t="s">
        <v>1110</v>
      </c>
      <c r="C18" s="146" t="s">
        <v>299</v>
      </c>
      <c r="D18" s="413"/>
      <c r="E18" s="174">
        <v>13</v>
      </c>
      <c r="F18" s="174">
        <v>19</v>
      </c>
      <c r="G18" s="174">
        <v>19</v>
      </c>
      <c r="H18" s="174">
        <v>21</v>
      </c>
      <c r="I18" s="174">
        <v>21</v>
      </c>
      <c r="J18" s="409">
        <v>22</v>
      </c>
      <c r="K18" s="174">
        <v>22</v>
      </c>
      <c r="L18" s="174">
        <v>22</v>
      </c>
      <c r="M18" s="174">
        <v>22</v>
      </c>
      <c r="N18" s="174">
        <v>22</v>
      </c>
      <c r="O18" s="174">
        <v>22</v>
      </c>
      <c r="P18" s="409">
        <v>20.8</v>
      </c>
      <c r="Q18" s="174">
        <v>21</v>
      </c>
      <c r="R18" s="174">
        <v>21</v>
      </c>
      <c r="S18" s="174">
        <v>21</v>
      </c>
      <c r="T18" s="174">
        <v>21</v>
      </c>
      <c r="U18" s="174">
        <v>21</v>
      </c>
      <c r="V18" s="409">
        <v>54.6</v>
      </c>
      <c r="W18" s="409">
        <v>54.6</v>
      </c>
      <c r="X18" s="409">
        <v>54.6</v>
      </c>
      <c r="Y18" s="409">
        <v>57.2</v>
      </c>
      <c r="Z18" s="174">
        <v>57</v>
      </c>
      <c r="AA18" s="174">
        <v>57</v>
      </c>
      <c r="AB18" s="409">
        <v>66.7</v>
      </c>
      <c r="AC18" s="174">
        <v>67</v>
      </c>
      <c r="AD18" s="174">
        <v>67</v>
      </c>
      <c r="AE18" s="174">
        <v>67</v>
      </c>
      <c r="AF18" s="174">
        <v>67</v>
      </c>
      <c r="AG18" s="174">
        <v>67</v>
      </c>
      <c r="AH18" s="174">
        <v>67</v>
      </c>
      <c r="AI18" s="174">
        <v>67</v>
      </c>
      <c r="AJ18" s="409">
        <v>63.7</v>
      </c>
      <c r="AK18" s="174">
        <v>64</v>
      </c>
      <c r="AL18" s="174">
        <v>64</v>
      </c>
      <c r="AM18" s="174">
        <v>64</v>
      </c>
      <c r="AN18" s="409">
        <v>73.7</v>
      </c>
      <c r="AO18" s="174">
        <v>80</v>
      </c>
      <c r="AP18" s="174">
        <v>80</v>
      </c>
      <c r="AQ18" s="174">
        <v>80</v>
      </c>
      <c r="AR18" s="174">
        <v>70</v>
      </c>
      <c r="AS18" s="174">
        <v>75</v>
      </c>
      <c r="AT18" s="174">
        <v>75</v>
      </c>
      <c r="AU18" s="174">
        <v>75</v>
      </c>
      <c r="AV18" s="174">
        <v>75</v>
      </c>
      <c r="AW18" s="174">
        <v>75</v>
      </c>
      <c r="AX18" s="174">
        <v>75</v>
      </c>
      <c r="AY18" s="174">
        <v>75</v>
      </c>
      <c r="AZ18" s="174">
        <v>75</v>
      </c>
      <c r="BA18" s="174">
        <v>75</v>
      </c>
      <c r="BB18" s="174">
        <v>75</v>
      </c>
      <c r="BC18" s="174">
        <v>75</v>
      </c>
      <c r="BD18" s="174">
        <v>75</v>
      </c>
      <c r="BE18" s="409">
        <v>91</v>
      </c>
      <c r="BF18" s="186"/>
      <c r="BG18" s="186"/>
      <c r="BH18" s="186"/>
      <c r="BI18" s="186"/>
      <c r="BJ18" s="186"/>
      <c r="BK18" s="186"/>
      <c r="BL18" s="186"/>
      <c r="BM18" s="186"/>
    </row>
    <row r="19" spans="2:65">
      <c r="B19" s="176" t="s">
        <v>1111</v>
      </c>
      <c r="C19" s="146" t="s">
        <v>318</v>
      </c>
      <c r="D19" s="413"/>
      <c r="E19" s="174">
        <v>3</v>
      </c>
      <c r="F19" s="409">
        <v>3.3000000000000003</v>
      </c>
      <c r="G19" s="409">
        <v>3.3000000000000003</v>
      </c>
      <c r="H19" s="409">
        <v>3.5999999999999996</v>
      </c>
      <c r="I19" s="409">
        <v>3.5999999999999996</v>
      </c>
      <c r="J19" s="174">
        <v>4</v>
      </c>
      <c r="K19" s="409">
        <v>3.5999999999999996</v>
      </c>
      <c r="L19" s="409">
        <v>3.5999999999999996</v>
      </c>
      <c r="M19" s="409">
        <v>4.5</v>
      </c>
      <c r="N19" s="409">
        <v>4.5</v>
      </c>
      <c r="O19" s="409">
        <v>4.5</v>
      </c>
      <c r="P19" s="413">
        <v>8.6999999999999993</v>
      </c>
      <c r="Q19" s="413">
        <v>8.6999999999999993</v>
      </c>
      <c r="R19" s="174">
        <v>8.6999999999999993</v>
      </c>
      <c r="S19" s="174">
        <v>8.6999999999999993</v>
      </c>
      <c r="T19" s="174">
        <v>8.6999999999999993</v>
      </c>
      <c r="U19" s="174">
        <v>8.6999999999999993</v>
      </c>
      <c r="V19" s="413">
        <v>29.5</v>
      </c>
      <c r="W19" s="413">
        <v>29.5</v>
      </c>
      <c r="X19" s="413">
        <v>29.5</v>
      </c>
      <c r="Y19" s="413">
        <v>20</v>
      </c>
      <c r="Z19" s="413">
        <v>20</v>
      </c>
      <c r="AA19" s="413">
        <v>20</v>
      </c>
      <c r="AB19" s="413">
        <v>22</v>
      </c>
      <c r="AC19" s="413">
        <v>22</v>
      </c>
      <c r="AD19" s="413">
        <v>22</v>
      </c>
      <c r="AE19" s="413">
        <v>22</v>
      </c>
      <c r="AF19" s="413">
        <v>22</v>
      </c>
      <c r="AG19" s="413">
        <v>22</v>
      </c>
      <c r="AH19" s="413">
        <v>22</v>
      </c>
      <c r="AI19" s="413">
        <v>22</v>
      </c>
      <c r="AJ19" s="413">
        <v>24</v>
      </c>
      <c r="AK19" s="413">
        <v>24</v>
      </c>
      <c r="AL19" s="413">
        <v>24</v>
      </c>
      <c r="AM19" s="413">
        <v>24</v>
      </c>
      <c r="AN19" s="413">
        <v>50</v>
      </c>
      <c r="AO19" s="413">
        <v>50</v>
      </c>
      <c r="AP19" s="413">
        <v>50</v>
      </c>
      <c r="AQ19" s="413">
        <v>50</v>
      </c>
      <c r="AR19" s="413">
        <v>50</v>
      </c>
      <c r="AS19" s="174">
        <v>52</v>
      </c>
      <c r="AT19" s="174">
        <v>52</v>
      </c>
      <c r="AU19" s="174">
        <v>52</v>
      </c>
      <c r="AV19" s="174">
        <v>52</v>
      </c>
      <c r="AW19" s="174">
        <v>52</v>
      </c>
      <c r="AX19" s="413">
        <v>55</v>
      </c>
      <c r="AY19" s="413">
        <v>55</v>
      </c>
      <c r="AZ19" s="413">
        <v>55</v>
      </c>
      <c r="BA19" s="413">
        <v>55</v>
      </c>
      <c r="BB19" s="413">
        <v>55</v>
      </c>
      <c r="BC19" s="413">
        <v>55</v>
      </c>
      <c r="BD19" s="413">
        <v>55</v>
      </c>
      <c r="BE19" s="174">
        <v>60</v>
      </c>
      <c r="BF19" s="186"/>
      <c r="BG19" s="186"/>
      <c r="BH19" s="186"/>
      <c r="BI19" s="186"/>
      <c r="BJ19" s="186"/>
      <c r="BK19" s="186"/>
      <c r="BL19" s="186"/>
      <c r="BM19" s="186"/>
    </row>
    <row r="20" spans="2:65" ht="13">
      <c r="B20" s="414" t="s">
        <v>1112</v>
      </c>
    </row>
    <row r="21" spans="2:65" ht="13" customHeight="1">
      <c r="B21" s="176" t="s">
        <v>1113</v>
      </c>
      <c r="C21" s="146" t="s">
        <v>299</v>
      </c>
      <c r="D21" s="413"/>
      <c r="E21" s="409">
        <v>33.5</v>
      </c>
      <c r="F21" s="409">
        <v>40.5</v>
      </c>
      <c r="G21" s="409">
        <v>53</v>
      </c>
      <c r="H21" s="409">
        <v>40.5</v>
      </c>
      <c r="I21" s="409">
        <v>53</v>
      </c>
      <c r="J21" s="181">
        <v>35</v>
      </c>
      <c r="K21" s="409">
        <v>40.5</v>
      </c>
      <c r="L21" s="409">
        <v>53</v>
      </c>
      <c r="M21" s="409">
        <v>40.5</v>
      </c>
      <c r="N21" s="409">
        <v>53</v>
      </c>
      <c r="O21" s="409">
        <v>63</v>
      </c>
      <c r="P21" s="413">
        <v>50</v>
      </c>
      <c r="Q21" s="413">
        <v>78</v>
      </c>
      <c r="R21" s="413">
        <v>40</v>
      </c>
      <c r="S21" s="413">
        <v>45</v>
      </c>
      <c r="T21" s="413">
        <v>50</v>
      </c>
      <c r="U21" s="413">
        <v>55</v>
      </c>
      <c r="V21" s="413">
        <v>84</v>
      </c>
      <c r="W21" s="413">
        <v>94</v>
      </c>
      <c r="X21" s="413">
        <v>119</v>
      </c>
      <c r="Y21" s="413">
        <v>80</v>
      </c>
      <c r="Z21" s="413">
        <v>91.5</v>
      </c>
      <c r="AA21" s="413">
        <v>116.5</v>
      </c>
      <c r="AB21" s="413">
        <v>82</v>
      </c>
      <c r="AC21" s="413">
        <v>112</v>
      </c>
      <c r="AD21" s="413">
        <v>142</v>
      </c>
      <c r="AE21" s="413">
        <v>166</v>
      </c>
      <c r="AF21" s="413">
        <v>110</v>
      </c>
      <c r="AG21" s="413">
        <v>131.4</v>
      </c>
      <c r="AH21" s="413">
        <v>149</v>
      </c>
      <c r="AI21" s="413">
        <v>164.5</v>
      </c>
      <c r="AJ21" s="413">
        <v>85</v>
      </c>
      <c r="AK21" s="413">
        <v>110</v>
      </c>
      <c r="AL21" s="413">
        <v>131.4</v>
      </c>
      <c r="AM21" s="413">
        <v>164.5</v>
      </c>
      <c r="AN21" s="413">
        <v>105</v>
      </c>
      <c r="AO21" s="413">
        <v>123</v>
      </c>
      <c r="AP21" s="413">
        <v>145</v>
      </c>
      <c r="AQ21" s="413">
        <v>155</v>
      </c>
      <c r="AR21" s="413">
        <v>166</v>
      </c>
      <c r="AS21" s="413">
        <v>119</v>
      </c>
      <c r="AT21" s="413">
        <v>125</v>
      </c>
      <c r="AU21" s="413">
        <v>149</v>
      </c>
      <c r="AV21" s="413">
        <v>166</v>
      </c>
      <c r="AW21" s="413">
        <v>169</v>
      </c>
      <c r="AX21" s="413">
        <v>110</v>
      </c>
      <c r="AY21" s="413">
        <v>119</v>
      </c>
      <c r="AZ21" s="413">
        <v>125</v>
      </c>
      <c r="BA21" s="413">
        <v>149</v>
      </c>
      <c r="BB21" s="413">
        <v>166</v>
      </c>
      <c r="BC21" s="413">
        <v>118</v>
      </c>
      <c r="BD21" s="413">
        <v>164</v>
      </c>
      <c r="BE21" s="413">
        <v>166</v>
      </c>
      <c r="BF21" s="186"/>
      <c r="BG21" s="186"/>
      <c r="BH21" s="186"/>
      <c r="BI21" s="186"/>
      <c r="BJ21" s="186"/>
      <c r="BK21" s="186"/>
      <c r="BL21" s="186"/>
      <c r="BM21" s="186"/>
    </row>
    <row r="22" spans="2:65">
      <c r="B22" s="176" t="s">
        <v>416</v>
      </c>
      <c r="C22" s="146" t="s">
        <v>318</v>
      </c>
      <c r="D22" s="409"/>
      <c r="E22" s="409">
        <v>12</v>
      </c>
      <c r="F22" s="181">
        <v>20</v>
      </c>
      <c r="G22" s="409">
        <v>58</v>
      </c>
      <c r="H22" s="181">
        <v>45</v>
      </c>
      <c r="I22" s="409">
        <v>41</v>
      </c>
      <c r="J22" s="181">
        <v>45</v>
      </c>
      <c r="K22" s="181">
        <v>45</v>
      </c>
      <c r="L22" s="409">
        <v>41</v>
      </c>
      <c r="M22" s="181">
        <v>45</v>
      </c>
      <c r="N22" s="181">
        <v>45</v>
      </c>
      <c r="O22" s="409">
        <v>58</v>
      </c>
      <c r="P22" s="409">
        <v>50</v>
      </c>
      <c r="Q22" s="409">
        <v>55</v>
      </c>
      <c r="R22" s="409">
        <v>28.9</v>
      </c>
      <c r="S22" s="409">
        <v>33</v>
      </c>
      <c r="T22" s="409">
        <v>38</v>
      </c>
      <c r="U22" s="409">
        <v>50.7</v>
      </c>
      <c r="V22" s="409">
        <v>70</v>
      </c>
      <c r="W22" s="409">
        <v>72</v>
      </c>
      <c r="X22" s="409">
        <v>74</v>
      </c>
      <c r="Y22" s="409">
        <v>80</v>
      </c>
      <c r="Z22" s="409">
        <v>83</v>
      </c>
      <c r="AA22" s="409">
        <v>86</v>
      </c>
      <c r="AB22" s="409">
        <v>90</v>
      </c>
      <c r="AC22" s="409">
        <v>93</v>
      </c>
      <c r="AD22" s="409">
        <v>96</v>
      </c>
      <c r="AE22" s="409">
        <v>99</v>
      </c>
      <c r="AF22" s="409">
        <v>93</v>
      </c>
      <c r="AG22" s="409">
        <v>96</v>
      </c>
      <c r="AH22" s="409">
        <v>99</v>
      </c>
      <c r="AI22" s="409">
        <v>102</v>
      </c>
      <c r="AJ22" s="409">
        <v>95</v>
      </c>
      <c r="AK22" s="409">
        <v>98</v>
      </c>
      <c r="AL22" s="409">
        <v>101</v>
      </c>
      <c r="AM22" s="409">
        <v>104</v>
      </c>
      <c r="AN22" s="409">
        <v>110</v>
      </c>
      <c r="AO22" s="409">
        <v>115</v>
      </c>
      <c r="AP22" s="409">
        <v>120</v>
      </c>
      <c r="AQ22" s="409">
        <v>125</v>
      </c>
      <c r="AR22" s="409">
        <v>130</v>
      </c>
      <c r="AS22" s="181">
        <v>150</v>
      </c>
      <c r="AT22" s="181">
        <v>150</v>
      </c>
      <c r="AU22" s="181">
        <v>150</v>
      </c>
      <c r="AV22" s="181">
        <v>150</v>
      </c>
      <c r="AW22" s="181">
        <v>150</v>
      </c>
      <c r="AX22" s="409">
        <v>112</v>
      </c>
      <c r="AY22" s="409">
        <v>130</v>
      </c>
      <c r="AZ22" s="409">
        <v>135</v>
      </c>
      <c r="BA22" s="409">
        <v>140</v>
      </c>
      <c r="BB22" s="409">
        <v>145</v>
      </c>
      <c r="BC22" s="409">
        <v>120</v>
      </c>
      <c r="BD22" s="409">
        <v>140</v>
      </c>
      <c r="BE22" s="409">
        <v>130</v>
      </c>
      <c r="BF22" s="170"/>
      <c r="BG22" s="170"/>
      <c r="BH22" s="170"/>
      <c r="BI22" s="170"/>
      <c r="BJ22" s="170"/>
      <c r="BK22" s="170"/>
      <c r="BL22" s="170"/>
      <c r="BM22" s="170"/>
    </row>
    <row r="23" spans="2:65" ht="13">
      <c r="B23" s="414" t="s">
        <v>1114</v>
      </c>
      <c r="AA23" s="219" t="s">
        <v>1115</v>
      </c>
    </row>
    <row r="24" spans="2:65">
      <c r="B24" s="176" t="s">
        <v>416</v>
      </c>
      <c r="C24" s="146" t="s">
        <v>318</v>
      </c>
      <c r="D24" s="409"/>
      <c r="E24" s="409">
        <v>7.9</v>
      </c>
      <c r="F24" s="409">
        <v>18</v>
      </c>
      <c r="G24" s="409">
        <v>18</v>
      </c>
      <c r="H24" s="409">
        <v>17.3</v>
      </c>
      <c r="I24" s="409">
        <v>17.3</v>
      </c>
      <c r="J24" s="409">
        <v>17.3</v>
      </c>
      <c r="K24" s="409">
        <v>17.3</v>
      </c>
      <c r="L24" s="409">
        <v>17.3</v>
      </c>
      <c r="M24" s="409">
        <v>19.8</v>
      </c>
      <c r="N24" s="409">
        <v>19.8</v>
      </c>
      <c r="O24" s="409">
        <v>19.8</v>
      </c>
      <c r="P24" s="409">
        <v>20.5</v>
      </c>
      <c r="Q24" s="409">
        <v>20.5</v>
      </c>
      <c r="R24" s="409">
        <v>20.399999999999999</v>
      </c>
      <c r="S24" s="409">
        <v>20.399999999999999</v>
      </c>
      <c r="T24" s="409">
        <v>20.399999999999999</v>
      </c>
      <c r="U24" s="409">
        <v>20.399999999999999</v>
      </c>
      <c r="V24" s="409">
        <v>70</v>
      </c>
      <c r="W24" s="409">
        <v>70</v>
      </c>
      <c r="X24" s="409">
        <v>70</v>
      </c>
      <c r="Y24" s="409">
        <v>70</v>
      </c>
      <c r="Z24" s="409">
        <v>70</v>
      </c>
      <c r="AA24" s="409">
        <v>70</v>
      </c>
      <c r="AB24" s="409">
        <v>75</v>
      </c>
      <c r="AC24" s="409">
        <v>75</v>
      </c>
      <c r="AD24" s="409">
        <v>75</v>
      </c>
      <c r="AE24" s="409">
        <v>75</v>
      </c>
      <c r="AF24" s="409">
        <v>75</v>
      </c>
      <c r="AG24" s="409">
        <v>75</v>
      </c>
      <c r="AH24" s="409">
        <v>75</v>
      </c>
      <c r="AI24" s="409">
        <v>75</v>
      </c>
      <c r="AJ24" s="409">
        <v>80</v>
      </c>
      <c r="AK24" s="409">
        <v>80</v>
      </c>
      <c r="AL24" s="409">
        <v>80</v>
      </c>
      <c r="AM24" s="409">
        <v>80</v>
      </c>
      <c r="AN24" s="409">
        <v>90</v>
      </c>
      <c r="AO24" s="409">
        <v>90</v>
      </c>
      <c r="AP24" s="409">
        <v>90</v>
      </c>
      <c r="AQ24" s="409">
        <v>90</v>
      </c>
      <c r="AR24" s="409">
        <v>90</v>
      </c>
      <c r="AS24" s="174">
        <v>90</v>
      </c>
      <c r="AT24" s="174">
        <v>90</v>
      </c>
      <c r="AU24" s="174">
        <v>90</v>
      </c>
      <c r="AV24" s="174">
        <v>90</v>
      </c>
      <c r="AW24" s="174">
        <v>90</v>
      </c>
      <c r="AX24" s="409">
        <v>85</v>
      </c>
      <c r="AY24" s="409">
        <v>90</v>
      </c>
      <c r="AZ24" s="409">
        <v>90</v>
      </c>
      <c r="BA24" s="409">
        <v>90</v>
      </c>
      <c r="BB24" s="409">
        <v>90</v>
      </c>
      <c r="BC24" s="409">
        <v>90</v>
      </c>
      <c r="BD24" s="409">
        <v>90</v>
      </c>
      <c r="BE24" s="174">
        <v>90</v>
      </c>
      <c r="BF24" s="170"/>
      <c r="BG24" s="170"/>
      <c r="BH24" s="170"/>
      <c r="BI24" s="170"/>
      <c r="BJ24" s="170"/>
      <c r="BK24" s="170"/>
      <c r="BL24" s="170"/>
      <c r="BM24" s="170"/>
    </row>
    <row r="25" spans="2:65" ht="13">
      <c r="B25" s="414" t="s">
        <v>1116</v>
      </c>
    </row>
    <row r="26" spans="2:65">
      <c r="B26" s="176" t="s">
        <v>1117</v>
      </c>
      <c r="C26" s="146" t="s">
        <v>445</v>
      </c>
      <c r="D26" s="409"/>
      <c r="E26" s="181">
        <v>0.1</v>
      </c>
      <c r="F26" s="181">
        <v>0.2</v>
      </c>
      <c r="G26" s="181">
        <v>0.3</v>
      </c>
      <c r="H26" s="181">
        <v>0.4</v>
      </c>
      <c r="I26" s="181">
        <v>0.5</v>
      </c>
      <c r="J26" s="181">
        <v>0.1</v>
      </c>
      <c r="K26" s="181">
        <v>0.2</v>
      </c>
      <c r="L26" s="181">
        <v>0.3</v>
      </c>
      <c r="M26" s="181">
        <v>0.4</v>
      </c>
      <c r="N26" s="181">
        <v>0.4</v>
      </c>
      <c r="O26" s="181">
        <v>0.4</v>
      </c>
      <c r="P26" s="409">
        <v>0.05</v>
      </c>
      <c r="Q26" s="409">
        <f>P26</f>
        <v>0.05</v>
      </c>
      <c r="R26" s="181">
        <v>0.3</v>
      </c>
      <c r="S26" s="181">
        <v>0.4</v>
      </c>
      <c r="T26" s="181">
        <v>0.4</v>
      </c>
      <c r="U26" s="181">
        <v>0.4</v>
      </c>
      <c r="V26" s="409">
        <v>0.6</v>
      </c>
      <c r="W26" s="409">
        <f>V26</f>
        <v>0.6</v>
      </c>
      <c r="X26" s="409">
        <f>W26</f>
        <v>0.6</v>
      </c>
      <c r="Y26" s="409">
        <v>0.7</v>
      </c>
      <c r="Z26" s="409">
        <f>Y26</f>
        <v>0.7</v>
      </c>
      <c r="AA26" s="409">
        <f>Z26</f>
        <v>0.7</v>
      </c>
      <c r="AB26" s="409">
        <v>0.8</v>
      </c>
      <c r="AC26" s="409">
        <f>AB26</f>
        <v>0.8</v>
      </c>
      <c r="AD26" s="409">
        <f t="shared" ref="AD26:AE26" si="48">AC26</f>
        <v>0.8</v>
      </c>
      <c r="AE26" s="409">
        <f t="shared" si="48"/>
        <v>0.8</v>
      </c>
      <c r="AF26" s="409">
        <v>0.8</v>
      </c>
      <c r="AG26" s="409">
        <f>AF26</f>
        <v>0.8</v>
      </c>
      <c r="AH26" s="409">
        <f t="shared" ref="AH26:AI26" si="49">AG26</f>
        <v>0.8</v>
      </c>
      <c r="AI26" s="409">
        <f t="shared" si="49"/>
        <v>0.8</v>
      </c>
      <c r="AJ26" s="409">
        <v>0.9</v>
      </c>
      <c r="AK26" s="409">
        <f>AJ26</f>
        <v>0.9</v>
      </c>
      <c r="AL26" s="409">
        <f t="shared" ref="AL26:AM26" si="50">AK26</f>
        <v>0.9</v>
      </c>
      <c r="AM26" s="409">
        <f t="shared" si="50"/>
        <v>0.9</v>
      </c>
      <c r="AN26" s="409">
        <v>1</v>
      </c>
      <c r="AO26" s="409">
        <f>AN26</f>
        <v>1</v>
      </c>
      <c r="AP26" s="409">
        <f t="shared" ref="AP26:AR26" si="51">AO26</f>
        <v>1</v>
      </c>
      <c r="AQ26" s="409">
        <f t="shared" si="51"/>
        <v>1</v>
      </c>
      <c r="AR26" s="409">
        <f t="shared" si="51"/>
        <v>1</v>
      </c>
      <c r="AS26" s="181">
        <v>1</v>
      </c>
      <c r="AT26" s="181">
        <v>1</v>
      </c>
      <c r="AU26" s="181">
        <v>1</v>
      </c>
      <c r="AV26" s="181">
        <v>1</v>
      </c>
      <c r="AW26" s="181">
        <v>1.1000000000000001</v>
      </c>
      <c r="AX26" s="409">
        <v>1.1000000000000001</v>
      </c>
      <c r="AY26" s="409">
        <v>1.5</v>
      </c>
      <c r="AZ26" s="409">
        <f>AY26</f>
        <v>1.5</v>
      </c>
      <c r="BA26" s="409">
        <f t="shared" ref="BA26:BB26" si="52">AZ26</f>
        <v>1.5</v>
      </c>
      <c r="BB26" s="409">
        <f t="shared" si="52"/>
        <v>1.5</v>
      </c>
      <c r="BC26" s="409">
        <v>1.5</v>
      </c>
      <c r="BD26" s="409">
        <f>BC26</f>
        <v>1.5</v>
      </c>
      <c r="BE26" s="409">
        <f>BD26</f>
        <v>1.5</v>
      </c>
      <c r="BF26" s="170"/>
      <c r="BG26" s="170"/>
      <c r="BH26" s="170"/>
      <c r="BI26" s="170"/>
      <c r="BJ26" s="170"/>
      <c r="BK26" s="170"/>
      <c r="BL26" s="170"/>
      <c r="BM26" s="170"/>
    </row>
    <row r="27" spans="2:65" ht="13">
      <c r="B27" s="414" t="s">
        <v>1118</v>
      </c>
    </row>
    <row r="28" spans="2:65">
      <c r="B28" s="176" t="s">
        <v>1109</v>
      </c>
      <c r="C28" s="146" t="s">
        <v>299</v>
      </c>
      <c r="D28" s="409"/>
      <c r="E28" s="181">
        <v>3</v>
      </c>
      <c r="F28" s="181">
        <v>3</v>
      </c>
      <c r="G28" s="181">
        <v>3</v>
      </c>
      <c r="H28" s="181">
        <v>4</v>
      </c>
      <c r="I28" s="181">
        <v>5</v>
      </c>
      <c r="J28" s="181">
        <v>3</v>
      </c>
      <c r="K28" s="181">
        <v>3</v>
      </c>
      <c r="L28" s="181">
        <v>4</v>
      </c>
      <c r="M28" s="181">
        <v>5</v>
      </c>
      <c r="N28" s="181">
        <v>5</v>
      </c>
      <c r="O28" s="181">
        <v>6</v>
      </c>
      <c r="P28" s="409">
        <v>10</v>
      </c>
      <c r="Q28" s="409">
        <v>10</v>
      </c>
      <c r="R28" s="181">
        <v>3</v>
      </c>
      <c r="S28" s="181">
        <v>3</v>
      </c>
      <c r="T28" s="181">
        <v>3</v>
      </c>
      <c r="U28" s="181">
        <v>3</v>
      </c>
      <c r="V28" s="409">
        <v>15</v>
      </c>
      <c r="W28" s="409">
        <f t="shared" ref="W28:BD28" si="53">V28</f>
        <v>15</v>
      </c>
      <c r="X28" s="409">
        <f t="shared" si="53"/>
        <v>15</v>
      </c>
      <c r="Y28" s="409">
        <f t="shared" si="53"/>
        <v>15</v>
      </c>
      <c r="Z28" s="409">
        <f t="shared" si="53"/>
        <v>15</v>
      </c>
      <c r="AA28" s="409">
        <f t="shared" si="53"/>
        <v>15</v>
      </c>
      <c r="AB28" s="409">
        <v>17</v>
      </c>
      <c r="AC28" s="409">
        <f t="shared" si="53"/>
        <v>17</v>
      </c>
      <c r="AD28" s="409">
        <f t="shared" si="53"/>
        <v>17</v>
      </c>
      <c r="AE28" s="409">
        <f t="shared" si="53"/>
        <v>17</v>
      </c>
      <c r="AF28" s="409">
        <f t="shared" si="53"/>
        <v>17</v>
      </c>
      <c r="AG28" s="409">
        <f t="shared" si="53"/>
        <v>17</v>
      </c>
      <c r="AH28" s="409">
        <f t="shared" si="53"/>
        <v>17</v>
      </c>
      <c r="AI28" s="409">
        <f t="shared" si="53"/>
        <v>17</v>
      </c>
      <c r="AJ28" s="409">
        <v>18</v>
      </c>
      <c r="AK28" s="409">
        <f t="shared" si="53"/>
        <v>18</v>
      </c>
      <c r="AL28" s="409">
        <f t="shared" si="53"/>
        <v>18</v>
      </c>
      <c r="AM28" s="409">
        <f t="shared" si="53"/>
        <v>18</v>
      </c>
      <c r="AN28" s="409">
        <v>20</v>
      </c>
      <c r="AO28" s="409">
        <f t="shared" si="53"/>
        <v>20</v>
      </c>
      <c r="AP28" s="409">
        <f t="shared" si="53"/>
        <v>20</v>
      </c>
      <c r="AQ28" s="409">
        <f t="shared" si="53"/>
        <v>20</v>
      </c>
      <c r="AR28" s="409">
        <f t="shared" si="53"/>
        <v>20</v>
      </c>
      <c r="AS28" s="174">
        <v>22</v>
      </c>
      <c r="AT28" s="174">
        <v>22</v>
      </c>
      <c r="AU28" s="174">
        <v>22</v>
      </c>
      <c r="AV28" s="174">
        <v>22</v>
      </c>
      <c r="AW28" s="174">
        <v>22</v>
      </c>
      <c r="AX28" s="409">
        <v>22</v>
      </c>
      <c r="AY28" s="409">
        <v>25</v>
      </c>
      <c r="AZ28" s="409">
        <f t="shared" si="53"/>
        <v>25</v>
      </c>
      <c r="BA28" s="409">
        <f t="shared" si="53"/>
        <v>25</v>
      </c>
      <c r="BB28" s="409">
        <f t="shared" si="53"/>
        <v>25</v>
      </c>
      <c r="BC28" s="409">
        <f t="shared" si="53"/>
        <v>25</v>
      </c>
      <c r="BD28" s="409">
        <f t="shared" si="53"/>
        <v>25</v>
      </c>
      <c r="BE28" s="174">
        <v>28</v>
      </c>
      <c r="BF28" s="170"/>
      <c r="BG28" s="170"/>
      <c r="BH28" s="170"/>
      <c r="BI28" s="170"/>
      <c r="BJ28" s="170"/>
      <c r="BK28" s="170"/>
      <c r="BL28" s="170"/>
      <c r="BM28" s="170"/>
    </row>
    <row r="29" spans="2:65" ht="13">
      <c r="B29" s="176" t="s">
        <v>1089</v>
      </c>
      <c r="C29" s="146" t="s">
        <v>274</v>
      </c>
      <c r="D29" s="182">
        <f t="shared" ref="D29:P29" si="54">PI()*D28^2/4</f>
        <v>0</v>
      </c>
      <c r="E29" s="182">
        <f t="shared" si="54"/>
        <v>7.0685834705770345</v>
      </c>
      <c r="F29" s="182">
        <f t="shared" si="54"/>
        <v>7.0685834705770345</v>
      </c>
      <c r="G29" s="182">
        <f t="shared" si="54"/>
        <v>7.0685834705770345</v>
      </c>
      <c r="H29" s="182">
        <f t="shared" si="54"/>
        <v>12.566370614359172</v>
      </c>
      <c r="I29" s="182">
        <f t="shared" si="54"/>
        <v>19.634954084936208</v>
      </c>
      <c r="J29" s="182">
        <f t="shared" si="54"/>
        <v>7.0685834705770345</v>
      </c>
      <c r="K29" s="182">
        <f t="shared" si="54"/>
        <v>7.0685834705770345</v>
      </c>
      <c r="L29" s="182">
        <f t="shared" si="54"/>
        <v>12.566370614359172</v>
      </c>
      <c r="M29" s="182">
        <f t="shared" si="54"/>
        <v>19.634954084936208</v>
      </c>
      <c r="N29" s="182">
        <f t="shared" si="54"/>
        <v>19.634954084936208</v>
      </c>
      <c r="O29" s="182">
        <f t="shared" si="54"/>
        <v>28.274333882308138</v>
      </c>
      <c r="P29" s="182">
        <f t="shared" si="54"/>
        <v>78.539816339744831</v>
      </c>
      <c r="Q29" s="182">
        <f t="shared" ref="Q29:BM29" si="55">PI()*Q28^2/4</f>
        <v>78.539816339744831</v>
      </c>
      <c r="R29" s="182">
        <f t="shared" si="55"/>
        <v>7.0685834705770345</v>
      </c>
      <c r="S29" s="182">
        <f t="shared" si="55"/>
        <v>7.0685834705770345</v>
      </c>
      <c r="T29" s="182">
        <f t="shared" si="55"/>
        <v>7.0685834705770345</v>
      </c>
      <c r="U29" s="182">
        <f t="shared" si="55"/>
        <v>7.0685834705770345</v>
      </c>
      <c r="V29" s="182">
        <f t="shared" si="55"/>
        <v>176.71458676442586</v>
      </c>
      <c r="W29" s="182">
        <f t="shared" si="55"/>
        <v>176.71458676442586</v>
      </c>
      <c r="X29" s="182">
        <f t="shared" si="55"/>
        <v>176.71458676442586</v>
      </c>
      <c r="Y29" s="182">
        <f t="shared" si="55"/>
        <v>176.71458676442586</v>
      </c>
      <c r="Z29" s="182">
        <f t="shared" si="55"/>
        <v>176.71458676442586</v>
      </c>
      <c r="AA29" s="182">
        <f t="shared" si="55"/>
        <v>176.71458676442586</v>
      </c>
      <c r="AB29" s="182">
        <f t="shared" si="55"/>
        <v>226.98006922186255</v>
      </c>
      <c r="AC29" s="182">
        <f t="shared" si="55"/>
        <v>226.98006922186255</v>
      </c>
      <c r="AD29" s="182">
        <f t="shared" si="55"/>
        <v>226.98006922186255</v>
      </c>
      <c r="AE29" s="182">
        <f t="shared" si="55"/>
        <v>226.98006922186255</v>
      </c>
      <c r="AF29" s="182">
        <f t="shared" si="55"/>
        <v>226.98006922186255</v>
      </c>
      <c r="AG29" s="182">
        <f t="shared" si="55"/>
        <v>226.98006922186255</v>
      </c>
      <c r="AH29" s="182">
        <f t="shared" si="55"/>
        <v>226.98006922186255</v>
      </c>
      <c r="AI29" s="182">
        <f t="shared" si="55"/>
        <v>226.98006922186255</v>
      </c>
      <c r="AJ29" s="182">
        <f t="shared" si="55"/>
        <v>254.46900494077323</v>
      </c>
      <c r="AK29" s="182">
        <f t="shared" si="55"/>
        <v>254.46900494077323</v>
      </c>
      <c r="AL29" s="182">
        <f t="shared" si="55"/>
        <v>254.46900494077323</v>
      </c>
      <c r="AM29" s="182">
        <f t="shared" si="55"/>
        <v>254.46900494077323</v>
      </c>
      <c r="AN29" s="182">
        <f t="shared" si="55"/>
        <v>314.15926535897933</v>
      </c>
      <c r="AO29" s="182">
        <f t="shared" si="55"/>
        <v>314.15926535897933</v>
      </c>
      <c r="AP29" s="182">
        <f t="shared" si="55"/>
        <v>314.15926535897933</v>
      </c>
      <c r="AQ29" s="182">
        <f t="shared" si="55"/>
        <v>314.15926535897933</v>
      </c>
      <c r="AR29" s="182">
        <f t="shared" si="55"/>
        <v>314.15926535897933</v>
      </c>
      <c r="AS29" s="182">
        <f t="shared" si="55"/>
        <v>380.13271108436498</v>
      </c>
      <c r="AT29" s="182">
        <f t="shared" si="55"/>
        <v>380.13271108436498</v>
      </c>
      <c r="AU29" s="182">
        <f t="shared" si="55"/>
        <v>380.13271108436498</v>
      </c>
      <c r="AV29" s="182">
        <f t="shared" si="55"/>
        <v>380.13271108436498</v>
      </c>
      <c r="AW29" s="182">
        <f t="shared" si="55"/>
        <v>380.13271108436498</v>
      </c>
      <c r="AX29" s="182">
        <f t="shared" si="55"/>
        <v>380.13271108436498</v>
      </c>
      <c r="AY29" s="182">
        <f t="shared" si="55"/>
        <v>490.87385212340519</v>
      </c>
      <c r="AZ29" s="182">
        <f t="shared" si="55"/>
        <v>490.87385212340519</v>
      </c>
      <c r="BA29" s="182">
        <f t="shared" si="55"/>
        <v>490.87385212340519</v>
      </c>
      <c r="BB29" s="182">
        <f t="shared" si="55"/>
        <v>490.87385212340519</v>
      </c>
      <c r="BC29" s="182">
        <f t="shared" si="55"/>
        <v>490.87385212340519</v>
      </c>
      <c r="BD29" s="182">
        <f t="shared" si="55"/>
        <v>490.87385212340519</v>
      </c>
      <c r="BE29" s="182">
        <f t="shared" si="55"/>
        <v>615.75216010359941</v>
      </c>
      <c r="BF29" s="182">
        <f t="shared" si="55"/>
        <v>0</v>
      </c>
      <c r="BG29" s="182">
        <f t="shared" si="55"/>
        <v>0</v>
      </c>
      <c r="BH29" s="182">
        <f t="shared" si="55"/>
        <v>0</v>
      </c>
      <c r="BI29" s="182">
        <f t="shared" si="55"/>
        <v>0</v>
      </c>
      <c r="BJ29" s="182">
        <f t="shared" si="55"/>
        <v>0</v>
      </c>
      <c r="BK29" s="182">
        <f t="shared" si="55"/>
        <v>0</v>
      </c>
      <c r="BL29" s="182">
        <f t="shared" si="55"/>
        <v>0</v>
      </c>
      <c r="BM29" s="182">
        <f t="shared" si="55"/>
        <v>0</v>
      </c>
    </row>
    <row r="30" spans="2:65">
      <c r="B30" s="176" t="s">
        <v>1119</v>
      </c>
      <c r="C30" s="146" t="s">
        <v>299</v>
      </c>
      <c r="D30" s="409"/>
      <c r="E30" s="181">
        <v>1.5</v>
      </c>
      <c r="F30" s="181">
        <v>1.5</v>
      </c>
      <c r="G30" s="181">
        <v>1.5</v>
      </c>
      <c r="H30" s="181">
        <v>1.5</v>
      </c>
      <c r="I30" s="181">
        <v>1.5</v>
      </c>
      <c r="J30" s="181">
        <v>1.5</v>
      </c>
      <c r="K30" s="181">
        <v>1.5</v>
      </c>
      <c r="L30" s="181">
        <v>1.5</v>
      </c>
      <c r="M30" s="181">
        <v>1.5</v>
      </c>
      <c r="N30" s="181">
        <v>1.5</v>
      </c>
      <c r="O30" s="181">
        <v>1.5</v>
      </c>
      <c r="P30" s="409">
        <v>2</v>
      </c>
      <c r="Q30" s="409">
        <v>2</v>
      </c>
      <c r="R30" s="409">
        <v>2.1</v>
      </c>
      <c r="S30" s="409">
        <v>2.1</v>
      </c>
      <c r="T30" s="409">
        <v>2.1</v>
      </c>
      <c r="U30" s="409">
        <v>2.1</v>
      </c>
      <c r="V30" s="409">
        <v>3</v>
      </c>
      <c r="W30" s="409">
        <f>V30</f>
        <v>3</v>
      </c>
      <c r="X30" s="409">
        <f t="shared" ref="X30:BD30" si="56">W30</f>
        <v>3</v>
      </c>
      <c r="Y30" s="409">
        <f t="shared" si="56"/>
        <v>3</v>
      </c>
      <c r="Z30" s="409">
        <f t="shared" si="56"/>
        <v>3</v>
      </c>
      <c r="AA30" s="409">
        <f t="shared" si="56"/>
        <v>3</v>
      </c>
      <c r="AB30" s="409">
        <v>3.5</v>
      </c>
      <c r="AC30" s="409">
        <f t="shared" si="56"/>
        <v>3.5</v>
      </c>
      <c r="AD30" s="409">
        <f t="shared" si="56"/>
        <v>3.5</v>
      </c>
      <c r="AE30" s="409">
        <f t="shared" si="56"/>
        <v>3.5</v>
      </c>
      <c r="AF30" s="409">
        <f t="shared" si="56"/>
        <v>3.5</v>
      </c>
      <c r="AG30" s="409">
        <f t="shared" si="56"/>
        <v>3.5</v>
      </c>
      <c r="AH30" s="409">
        <f t="shared" si="56"/>
        <v>3.5</v>
      </c>
      <c r="AI30" s="409">
        <f t="shared" si="56"/>
        <v>3.5</v>
      </c>
      <c r="AJ30" s="409">
        <f t="shared" si="56"/>
        <v>3.5</v>
      </c>
      <c r="AK30" s="409">
        <f t="shared" si="56"/>
        <v>3.5</v>
      </c>
      <c r="AL30" s="409">
        <f t="shared" si="56"/>
        <v>3.5</v>
      </c>
      <c r="AM30" s="409">
        <f t="shared" si="56"/>
        <v>3.5</v>
      </c>
      <c r="AN30" s="409">
        <v>4</v>
      </c>
      <c r="AO30" s="409">
        <f t="shared" si="56"/>
        <v>4</v>
      </c>
      <c r="AP30" s="409">
        <f t="shared" si="56"/>
        <v>4</v>
      </c>
      <c r="AQ30" s="409">
        <f t="shared" si="56"/>
        <v>4</v>
      </c>
      <c r="AR30" s="409">
        <f t="shared" si="56"/>
        <v>4</v>
      </c>
      <c r="AS30" s="181">
        <v>5</v>
      </c>
      <c r="AT30" s="181">
        <v>5</v>
      </c>
      <c r="AU30" s="181">
        <v>5</v>
      </c>
      <c r="AV30" s="181">
        <v>5</v>
      </c>
      <c r="AW30" s="181">
        <v>5</v>
      </c>
      <c r="AX30" s="409">
        <f>AR30</f>
        <v>4</v>
      </c>
      <c r="AY30" s="409">
        <v>4.5</v>
      </c>
      <c r="AZ30" s="409">
        <f t="shared" si="56"/>
        <v>4.5</v>
      </c>
      <c r="BA30" s="409">
        <f t="shared" si="56"/>
        <v>4.5</v>
      </c>
      <c r="BB30" s="409">
        <f t="shared" si="56"/>
        <v>4.5</v>
      </c>
      <c r="BC30" s="409">
        <f t="shared" si="56"/>
        <v>4.5</v>
      </c>
      <c r="BD30" s="409">
        <f t="shared" si="56"/>
        <v>4.5</v>
      </c>
      <c r="BE30" s="174">
        <v>4.5</v>
      </c>
      <c r="BF30" s="170"/>
      <c r="BG30" s="170"/>
      <c r="BH30" s="170"/>
      <c r="BI30" s="170"/>
      <c r="BJ30" s="170"/>
      <c r="BK30" s="170"/>
      <c r="BL30" s="170"/>
      <c r="BM30" s="170"/>
    </row>
    <row r="31" spans="2:65" ht="13">
      <c r="B31" s="176" t="s">
        <v>301</v>
      </c>
      <c r="C31" s="146" t="s">
        <v>302</v>
      </c>
      <c r="D31" s="183">
        <f t="shared" ref="D31:O31" si="57">D29*D30</f>
        <v>0</v>
      </c>
      <c r="E31" s="183">
        <f t="shared" si="57"/>
        <v>10.602875205865551</v>
      </c>
      <c r="F31" s="183">
        <f t="shared" si="57"/>
        <v>10.602875205865551</v>
      </c>
      <c r="G31" s="183">
        <f t="shared" si="57"/>
        <v>10.602875205865551</v>
      </c>
      <c r="H31" s="183">
        <f t="shared" si="57"/>
        <v>18.849555921538759</v>
      </c>
      <c r="I31" s="183">
        <f t="shared" si="57"/>
        <v>29.45243112740431</v>
      </c>
      <c r="J31" s="183">
        <f t="shared" si="57"/>
        <v>10.602875205865551</v>
      </c>
      <c r="K31" s="183">
        <f t="shared" si="57"/>
        <v>10.602875205865551</v>
      </c>
      <c r="L31" s="183">
        <f t="shared" si="57"/>
        <v>18.849555921538759</v>
      </c>
      <c r="M31" s="183">
        <f t="shared" si="57"/>
        <v>29.45243112740431</v>
      </c>
      <c r="N31" s="183">
        <f t="shared" si="57"/>
        <v>29.45243112740431</v>
      </c>
      <c r="O31" s="183">
        <f t="shared" si="57"/>
        <v>42.411500823462205</v>
      </c>
      <c r="P31" s="183">
        <f>P29*P30</f>
        <v>157.07963267948966</v>
      </c>
      <c r="Q31" s="183">
        <f t="shared" ref="Q31" si="58">Q29*Q30</f>
        <v>157.07963267948966</v>
      </c>
      <c r="R31" s="183">
        <f t="shared" ref="R31" si="59">R29*R30</f>
        <v>14.844025288211773</v>
      </c>
      <c r="S31" s="183">
        <f t="shared" ref="S31" si="60">S29*S30</f>
        <v>14.844025288211773</v>
      </c>
      <c r="T31" s="183">
        <f t="shared" ref="T31" si="61">T29*T30</f>
        <v>14.844025288211773</v>
      </c>
      <c r="U31" s="183">
        <f t="shared" ref="U31" si="62">U29*U30</f>
        <v>14.844025288211773</v>
      </c>
      <c r="V31" s="183">
        <f t="shared" ref="V31" si="63">V29*V30</f>
        <v>530.14376029327764</v>
      </c>
      <c r="W31" s="183">
        <f t="shared" ref="W31" si="64">W29*W30</f>
        <v>530.14376029327764</v>
      </c>
      <c r="X31" s="183">
        <f t="shared" ref="X31" si="65">X29*X30</f>
        <v>530.14376029327764</v>
      </c>
      <c r="Y31" s="183">
        <f t="shared" ref="Y31" si="66">Y29*Y30</f>
        <v>530.14376029327764</v>
      </c>
      <c r="Z31" s="183">
        <f t="shared" ref="Z31" si="67">Z29*Z30</f>
        <v>530.14376029327764</v>
      </c>
      <c r="AA31" s="183">
        <f t="shared" ref="AA31:AB31" si="68">AA29*AA30</f>
        <v>530.14376029327764</v>
      </c>
      <c r="AB31" s="183">
        <f t="shared" si="68"/>
        <v>794.43024227651892</v>
      </c>
      <c r="AC31" s="183">
        <f t="shared" ref="AC31" si="69">AC29*AC30</f>
        <v>794.43024227651892</v>
      </c>
      <c r="AD31" s="183">
        <f t="shared" ref="AD31" si="70">AD29*AD30</f>
        <v>794.43024227651892</v>
      </c>
      <c r="AE31" s="183">
        <f t="shared" ref="AE31" si="71">AE29*AE30</f>
        <v>794.43024227651892</v>
      </c>
      <c r="AF31" s="183">
        <f t="shared" ref="AF31" si="72">AF29*AF30</f>
        <v>794.43024227651892</v>
      </c>
      <c r="AG31" s="183">
        <f t="shared" ref="AG31" si="73">AG29*AG30</f>
        <v>794.43024227651892</v>
      </c>
      <c r="AH31" s="183">
        <f t="shared" ref="AH31" si="74">AH29*AH30</f>
        <v>794.43024227651892</v>
      </c>
      <c r="AI31" s="183">
        <f t="shared" ref="AI31" si="75">AI29*AI30</f>
        <v>794.43024227651892</v>
      </c>
      <c r="AJ31" s="183">
        <f t="shared" ref="AJ31" si="76">AJ29*AJ30</f>
        <v>890.64151729270634</v>
      </c>
      <c r="AK31" s="183">
        <f t="shared" ref="AK31" si="77">AK29*AK30</f>
        <v>890.64151729270634</v>
      </c>
      <c r="AL31" s="183">
        <f t="shared" ref="AL31" si="78">AL29*AL30</f>
        <v>890.64151729270634</v>
      </c>
      <c r="AM31" s="183">
        <f t="shared" ref="AM31:AN31" si="79">AM29*AM30</f>
        <v>890.64151729270634</v>
      </c>
      <c r="AN31" s="183">
        <f t="shared" si="79"/>
        <v>1256.6370614359173</v>
      </c>
      <c r="AO31" s="183">
        <f t="shared" ref="AO31" si="80">AO29*AO30</f>
        <v>1256.6370614359173</v>
      </c>
      <c r="AP31" s="183">
        <f t="shared" ref="AP31" si="81">AP29*AP30</f>
        <v>1256.6370614359173</v>
      </c>
      <c r="AQ31" s="183">
        <f t="shared" ref="AQ31" si="82">AQ29*AQ30</f>
        <v>1256.6370614359173</v>
      </c>
      <c r="AR31" s="183">
        <f t="shared" ref="AR31" si="83">AR29*AR30</f>
        <v>1256.6370614359173</v>
      </c>
      <c r="AS31" s="183">
        <f t="shared" ref="AS31" si="84">AS29*AS30</f>
        <v>1900.6635554218249</v>
      </c>
      <c r="AT31" s="183">
        <f t="shared" ref="AT31" si="85">AT29*AT30</f>
        <v>1900.6635554218249</v>
      </c>
      <c r="AU31" s="183">
        <f t="shared" ref="AU31" si="86">AU29*AU30</f>
        <v>1900.6635554218249</v>
      </c>
      <c r="AV31" s="183">
        <f t="shared" ref="AV31" si="87">AV29*AV30</f>
        <v>1900.6635554218249</v>
      </c>
      <c r="AW31" s="183">
        <f t="shared" ref="AW31" si="88">AW29*AW30</f>
        <v>1900.6635554218249</v>
      </c>
      <c r="AX31" s="183">
        <f t="shared" ref="AX31" si="89">AX29*AX30</f>
        <v>1520.5308443374599</v>
      </c>
      <c r="AY31" s="183">
        <f t="shared" ref="AY31:AZ31" si="90">AY29*AY30</f>
        <v>2208.9323345553235</v>
      </c>
      <c r="AZ31" s="183">
        <f t="shared" si="90"/>
        <v>2208.9323345553235</v>
      </c>
      <c r="BA31" s="183">
        <f t="shared" ref="BA31" si="91">BA29*BA30</f>
        <v>2208.9323345553235</v>
      </c>
      <c r="BB31" s="183">
        <f t="shared" ref="BB31" si="92">BB29*BB30</f>
        <v>2208.9323345553235</v>
      </c>
      <c r="BC31" s="183">
        <f t="shared" ref="BC31" si="93">BC29*BC30</f>
        <v>2208.9323345553235</v>
      </c>
      <c r="BD31" s="183">
        <f t="shared" ref="BD31" si="94">BD29*BD30</f>
        <v>2208.9323345553235</v>
      </c>
      <c r="BE31" s="183">
        <f t="shared" ref="BE31" si="95">BE29*BE30</f>
        <v>2770.8847204661975</v>
      </c>
      <c r="BF31" s="183">
        <f>BF29*BF30</f>
        <v>0</v>
      </c>
      <c r="BG31" s="183">
        <f t="shared" ref="BG31" si="96">BG29*BG30</f>
        <v>0</v>
      </c>
      <c r="BH31" s="183">
        <f t="shared" ref="BH31" si="97">BH29*BH30</f>
        <v>0</v>
      </c>
      <c r="BI31" s="183">
        <f t="shared" ref="BI31" si="98">BI29*BI30</f>
        <v>0</v>
      </c>
      <c r="BJ31" s="183">
        <f t="shared" ref="BJ31" si="99">BJ29*BJ30</f>
        <v>0</v>
      </c>
      <c r="BK31" s="183">
        <f t="shared" ref="BK31:BL31" si="100">BK29*BK30</f>
        <v>0</v>
      </c>
      <c r="BL31" s="183">
        <f t="shared" si="100"/>
        <v>0</v>
      </c>
      <c r="BM31" s="183">
        <f t="shared" ref="BM31" si="101">BM29*BM30</f>
        <v>0</v>
      </c>
    </row>
    <row r="32" spans="2:65" ht="13">
      <c r="B32" s="176" t="s">
        <v>416</v>
      </c>
      <c r="C32" s="146" t="s">
        <v>318</v>
      </c>
      <c r="D32" s="183">
        <f t="shared" ref="D32:AY32" si="102">D31*Concrete_density</f>
        <v>0</v>
      </c>
      <c r="E32" s="183">
        <f t="shared" si="102"/>
        <v>25.446900494077322</v>
      </c>
      <c r="F32" s="183">
        <f t="shared" si="102"/>
        <v>25.446900494077322</v>
      </c>
      <c r="G32" s="183">
        <f t="shared" si="102"/>
        <v>25.446900494077322</v>
      </c>
      <c r="H32" s="183">
        <f t="shared" si="102"/>
        <v>45.238934211693021</v>
      </c>
      <c r="I32" s="183">
        <f t="shared" si="102"/>
        <v>70.685834705770347</v>
      </c>
      <c r="J32" s="183">
        <f t="shared" si="102"/>
        <v>25.446900494077322</v>
      </c>
      <c r="K32" s="183">
        <f t="shared" si="102"/>
        <v>25.446900494077322</v>
      </c>
      <c r="L32" s="183">
        <f t="shared" si="102"/>
        <v>45.238934211693021</v>
      </c>
      <c r="M32" s="183">
        <f t="shared" si="102"/>
        <v>70.685834705770347</v>
      </c>
      <c r="N32" s="183">
        <f t="shared" si="102"/>
        <v>70.685834705770347</v>
      </c>
      <c r="O32" s="183">
        <f t="shared" si="102"/>
        <v>101.78760197630929</v>
      </c>
      <c r="P32" s="183">
        <f t="shared" si="102"/>
        <v>376.9911184307752</v>
      </c>
      <c r="Q32" s="183">
        <f t="shared" si="102"/>
        <v>376.9911184307752</v>
      </c>
      <c r="R32" s="183">
        <f t="shared" si="102"/>
        <v>35.625660691708255</v>
      </c>
      <c r="S32" s="183">
        <f t="shared" si="102"/>
        <v>35.625660691708255</v>
      </c>
      <c r="T32" s="183">
        <f t="shared" si="102"/>
        <v>35.625660691708255</v>
      </c>
      <c r="U32" s="183">
        <f t="shared" si="102"/>
        <v>35.625660691708255</v>
      </c>
      <c r="V32" s="183">
        <f t="shared" si="102"/>
        <v>1272.3450247038663</v>
      </c>
      <c r="W32" s="183">
        <f t="shared" si="102"/>
        <v>1272.3450247038663</v>
      </c>
      <c r="X32" s="183">
        <f t="shared" si="102"/>
        <v>1272.3450247038663</v>
      </c>
      <c r="Y32" s="183">
        <f t="shared" si="102"/>
        <v>1272.3450247038663</v>
      </c>
      <c r="Z32" s="183">
        <f t="shared" si="102"/>
        <v>1272.3450247038663</v>
      </c>
      <c r="AA32" s="183">
        <f t="shared" si="102"/>
        <v>1272.3450247038663</v>
      </c>
      <c r="AB32" s="183">
        <f t="shared" si="102"/>
        <v>1906.6325814636452</v>
      </c>
      <c r="AC32" s="183">
        <f t="shared" si="102"/>
        <v>1906.6325814636452</v>
      </c>
      <c r="AD32" s="183">
        <f t="shared" si="102"/>
        <v>1906.6325814636452</v>
      </c>
      <c r="AE32" s="183">
        <f t="shared" si="102"/>
        <v>1906.6325814636452</v>
      </c>
      <c r="AF32" s="183">
        <f t="shared" si="102"/>
        <v>1906.6325814636452</v>
      </c>
      <c r="AG32" s="183">
        <f t="shared" si="102"/>
        <v>1906.6325814636452</v>
      </c>
      <c r="AH32" s="183">
        <f t="shared" si="102"/>
        <v>1906.6325814636452</v>
      </c>
      <c r="AI32" s="183">
        <f t="shared" si="102"/>
        <v>1906.6325814636452</v>
      </c>
      <c r="AJ32" s="183">
        <f t="shared" si="102"/>
        <v>2137.5396415024952</v>
      </c>
      <c r="AK32" s="183">
        <f t="shared" si="102"/>
        <v>2137.5396415024952</v>
      </c>
      <c r="AL32" s="183">
        <f t="shared" si="102"/>
        <v>2137.5396415024952</v>
      </c>
      <c r="AM32" s="183">
        <f t="shared" si="102"/>
        <v>2137.5396415024952</v>
      </c>
      <c r="AN32" s="183">
        <f t="shared" si="102"/>
        <v>3015.9289474462016</v>
      </c>
      <c r="AO32" s="183">
        <f t="shared" si="102"/>
        <v>3015.9289474462016</v>
      </c>
      <c r="AP32" s="183">
        <f t="shared" si="102"/>
        <v>3015.9289474462016</v>
      </c>
      <c r="AQ32" s="183">
        <f t="shared" si="102"/>
        <v>3015.9289474462016</v>
      </c>
      <c r="AR32" s="183">
        <f t="shared" si="102"/>
        <v>3015.9289474462016</v>
      </c>
      <c r="AS32" s="183">
        <f t="shared" si="102"/>
        <v>4561.5925330123791</v>
      </c>
      <c r="AT32" s="183">
        <f t="shared" si="102"/>
        <v>4561.5925330123791</v>
      </c>
      <c r="AU32" s="183">
        <f t="shared" si="102"/>
        <v>4561.5925330123791</v>
      </c>
      <c r="AV32" s="183">
        <f t="shared" si="102"/>
        <v>4561.5925330123791</v>
      </c>
      <c r="AW32" s="183">
        <f t="shared" si="102"/>
        <v>4561.5925330123791</v>
      </c>
      <c r="AX32" s="183">
        <f t="shared" si="102"/>
        <v>3649.2740264099039</v>
      </c>
      <c r="AY32" s="183">
        <f t="shared" si="102"/>
        <v>5301.4376029327759</v>
      </c>
      <c r="AZ32" s="183">
        <f t="shared" ref="AZ32:BM32" si="103">AZ31*Concrete_density</f>
        <v>5301.4376029327759</v>
      </c>
      <c r="BA32" s="183">
        <f t="shared" si="103"/>
        <v>5301.4376029327759</v>
      </c>
      <c r="BB32" s="183">
        <f t="shared" si="103"/>
        <v>5301.4376029327759</v>
      </c>
      <c r="BC32" s="183">
        <f t="shared" si="103"/>
        <v>5301.4376029327759</v>
      </c>
      <c r="BD32" s="183">
        <f t="shared" si="103"/>
        <v>5301.4376029327759</v>
      </c>
      <c r="BE32" s="183">
        <f t="shared" si="103"/>
        <v>6650.1233291188737</v>
      </c>
      <c r="BF32" s="183">
        <f t="shared" si="103"/>
        <v>0</v>
      </c>
      <c r="BG32" s="183">
        <f t="shared" si="103"/>
        <v>0</v>
      </c>
      <c r="BH32" s="183">
        <f t="shared" si="103"/>
        <v>0</v>
      </c>
      <c r="BI32" s="183">
        <f t="shared" si="103"/>
        <v>0</v>
      </c>
      <c r="BJ32" s="183">
        <f t="shared" si="103"/>
        <v>0</v>
      </c>
      <c r="BK32" s="183">
        <f t="shared" si="103"/>
        <v>0</v>
      </c>
      <c r="BL32" s="183">
        <f t="shared" si="103"/>
        <v>0</v>
      </c>
      <c r="BM32" s="183">
        <f t="shared" si="103"/>
        <v>0</v>
      </c>
    </row>
    <row r="33" spans="1:65" ht="13">
      <c r="B33" s="176" t="s">
        <v>1120</v>
      </c>
      <c r="C33" s="146" t="s">
        <v>52</v>
      </c>
      <c r="D33" s="184">
        <f t="shared" ref="D33:AI33" si="104">Number_of_steel_bolts_per_m2_foundation_coefficient_1*D5+Number_of_steel_bolts_per_m2_foundation_coefficient_2</f>
        <v>4.25</v>
      </c>
      <c r="E33" s="184">
        <f t="shared" si="104"/>
        <v>4.9812500000000002</v>
      </c>
      <c r="F33" s="184">
        <f t="shared" si="104"/>
        <v>5.875</v>
      </c>
      <c r="G33" s="184">
        <f t="shared" si="104"/>
        <v>5.875</v>
      </c>
      <c r="H33" s="184">
        <f t="shared" si="104"/>
        <v>5.875</v>
      </c>
      <c r="I33" s="184">
        <f t="shared" si="104"/>
        <v>5.875</v>
      </c>
      <c r="J33" s="184">
        <f t="shared" si="104"/>
        <v>5.875</v>
      </c>
      <c r="K33" s="184">
        <f t="shared" si="104"/>
        <v>6.2</v>
      </c>
      <c r="L33" s="184">
        <f t="shared" si="104"/>
        <v>6.2</v>
      </c>
      <c r="M33" s="184">
        <f t="shared" si="104"/>
        <v>6.2</v>
      </c>
      <c r="N33" s="184">
        <f t="shared" si="104"/>
        <v>6.2</v>
      </c>
      <c r="O33" s="184">
        <f t="shared" si="104"/>
        <v>6.2</v>
      </c>
      <c r="P33" s="184">
        <f t="shared" si="104"/>
        <v>7.1750000000000007</v>
      </c>
      <c r="Q33" s="184">
        <f t="shared" si="104"/>
        <v>7.1750000000000007</v>
      </c>
      <c r="R33" s="184">
        <f t="shared" si="104"/>
        <v>6.3949999999999996</v>
      </c>
      <c r="S33" s="184">
        <f t="shared" si="104"/>
        <v>6.3949999999999996</v>
      </c>
      <c r="T33" s="184">
        <f t="shared" si="104"/>
        <v>6.3949999999999996</v>
      </c>
      <c r="U33" s="184">
        <f t="shared" si="104"/>
        <v>6.3949999999999996</v>
      </c>
      <c r="V33" s="184">
        <f t="shared" si="104"/>
        <v>14.975</v>
      </c>
      <c r="W33" s="184">
        <f t="shared" si="104"/>
        <v>14.975</v>
      </c>
      <c r="X33" s="184">
        <f t="shared" si="104"/>
        <v>14.975</v>
      </c>
      <c r="Y33" s="184">
        <f t="shared" si="104"/>
        <v>15.4625</v>
      </c>
      <c r="Z33" s="184">
        <f t="shared" si="104"/>
        <v>15.4625</v>
      </c>
      <c r="AA33" s="184">
        <f t="shared" si="104"/>
        <v>15.4625</v>
      </c>
      <c r="AB33" s="184">
        <f t="shared" si="104"/>
        <v>15.950000000000001</v>
      </c>
      <c r="AC33" s="184">
        <f t="shared" si="104"/>
        <v>15.950000000000001</v>
      </c>
      <c r="AD33" s="184">
        <f t="shared" si="104"/>
        <v>15.950000000000001</v>
      </c>
      <c r="AE33" s="184">
        <f t="shared" si="104"/>
        <v>15.950000000000001</v>
      </c>
      <c r="AF33" s="184">
        <f t="shared" si="104"/>
        <v>15.950000000000001</v>
      </c>
      <c r="AG33" s="184">
        <f t="shared" si="104"/>
        <v>15.950000000000001</v>
      </c>
      <c r="AH33" s="184">
        <f t="shared" si="104"/>
        <v>15.950000000000001</v>
      </c>
      <c r="AI33" s="184">
        <f t="shared" si="104"/>
        <v>15.950000000000001</v>
      </c>
      <c r="AJ33" s="184">
        <f t="shared" ref="AJ33:BM33" si="105">Number_of_steel_bolts_per_m2_foundation_coefficient_1*AJ5+Number_of_steel_bolts_per_m2_foundation_coefficient_2</f>
        <v>16.600000000000001</v>
      </c>
      <c r="AK33" s="184">
        <f t="shared" si="105"/>
        <v>16.600000000000001</v>
      </c>
      <c r="AL33" s="184">
        <f t="shared" si="105"/>
        <v>16.600000000000001</v>
      </c>
      <c r="AM33" s="184">
        <f t="shared" si="105"/>
        <v>16.600000000000001</v>
      </c>
      <c r="AN33" s="184">
        <f t="shared" si="105"/>
        <v>17.899999999999999</v>
      </c>
      <c r="AO33" s="184">
        <f t="shared" si="105"/>
        <v>17.899999999999999</v>
      </c>
      <c r="AP33" s="184">
        <f t="shared" si="105"/>
        <v>17.899999999999999</v>
      </c>
      <c r="AQ33" s="184">
        <f t="shared" si="105"/>
        <v>17.899999999999999</v>
      </c>
      <c r="AR33" s="184">
        <f t="shared" si="105"/>
        <v>17.899999999999999</v>
      </c>
      <c r="AS33" s="184">
        <f t="shared" si="105"/>
        <v>24.400000000000002</v>
      </c>
      <c r="AT33" s="184">
        <f t="shared" si="105"/>
        <v>24.400000000000002</v>
      </c>
      <c r="AU33" s="184">
        <f t="shared" si="105"/>
        <v>24.400000000000002</v>
      </c>
      <c r="AV33" s="184">
        <f t="shared" si="105"/>
        <v>24.400000000000002</v>
      </c>
      <c r="AW33" s="184">
        <f t="shared" si="105"/>
        <v>24.400000000000002</v>
      </c>
      <c r="AX33" s="184">
        <f t="shared" si="105"/>
        <v>18.875</v>
      </c>
      <c r="AY33" s="184">
        <f t="shared" si="105"/>
        <v>22.45</v>
      </c>
      <c r="AZ33" s="184">
        <f t="shared" si="105"/>
        <v>22.45</v>
      </c>
      <c r="BA33" s="184">
        <f t="shared" si="105"/>
        <v>22.45</v>
      </c>
      <c r="BB33" s="184">
        <f t="shared" si="105"/>
        <v>22.45</v>
      </c>
      <c r="BC33" s="184">
        <f t="shared" si="105"/>
        <v>22.775000000000002</v>
      </c>
      <c r="BD33" s="184">
        <f t="shared" si="105"/>
        <v>22.775000000000002</v>
      </c>
      <c r="BE33" s="184">
        <f t="shared" si="105"/>
        <v>30.25</v>
      </c>
      <c r="BF33" s="184">
        <f t="shared" si="105"/>
        <v>4.25</v>
      </c>
      <c r="BG33" s="184">
        <f t="shared" si="105"/>
        <v>4.25</v>
      </c>
      <c r="BH33" s="184">
        <f t="shared" si="105"/>
        <v>4.25</v>
      </c>
      <c r="BI33" s="184">
        <f t="shared" si="105"/>
        <v>4.25</v>
      </c>
      <c r="BJ33" s="184">
        <f t="shared" si="105"/>
        <v>4.25</v>
      </c>
      <c r="BK33" s="184">
        <f t="shared" si="105"/>
        <v>4.25</v>
      </c>
      <c r="BL33" s="184">
        <f t="shared" si="105"/>
        <v>4.25</v>
      </c>
      <c r="BM33" s="184">
        <f t="shared" si="105"/>
        <v>4.25</v>
      </c>
    </row>
    <row r="35" spans="1:65">
      <c r="A35" s="219">
        <v>1</v>
      </c>
      <c r="B35" s="154" t="s">
        <v>1121</v>
      </c>
    </row>
    <row r="36" spans="1:65">
      <c r="A36" s="219">
        <v>2</v>
      </c>
      <c r="B36" s="154" t="s">
        <v>1122</v>
      </c>
    </row>
    <row r="37" spans="1:65">
      <c r="A37" s="219">
        <v>3</v>
      </c>
      <c r="B37" s="154" t="s">
        <v>1123</v>
      </c>
    </row>
    <row r="38" spans="1:65">
      <c r="A38" s="219">
        <v>4</v>
      </c>
      <c r="B38" s="154" t="s">
        <v>1124</v>
      </c>
    </row>
    <row r="39" spans="1:65">
      <c r="A39" s="219">
        <v>5</v>
      </c>
      <c r="B39" s="154" t="s">
        <v>1125</v>
      </c>
      <c r="C39" s="219" t="s">
        <v>1126</v>
      </c>
    </row>
    <row r="40" spans="1:65">
      <c r="A40" s="219">
        <v>6</v>
      </c>
      <c r="B40" s="154" t="s">
        <v>1127</v>
      </c>
    </row>
    <row r="41" spans="1:65">
      <c r="A41" s="219">
        <v>7</v>
      </c>
      <c r="B41" s="154" t="s">
        <v>1128</v>
      </c>
      <c r="C41" s="219" t="s">
        <v>1126</v>
      </c>
    </row>
    <row r="42" spans="1:65">
      <c r="A42" s="219">
        <v>8</v>
      </c>
      <c r="B42" s="154" t="s">
        <v>1129</v>
      </c>
    </row>
    <row r="43" spans="1:65">
      <c r="A43" s="219">
        <v>9</v>
      </c>
      <c r="B43" s="154" t="s">
        <v>1130</v>
      </c>
    </row>
    <row r="44" spans="1:65">
      <c r="A44" s="219">
        <v>10</v>
      </c>
      <c r="B44" s="154" t="s">
        <v>1131</v>
      </c>
    </row>
    <row r="46" spans="1:65" s="244" customFormat="1" ht="14.5">
      <c r="A46" s="372"/>
      <c r="B46" s="38" t="s">
        <v>1132</v>
      </c>
      <c r="C46" s="155"/>
      <c r="E46" s="415">
        <v>3.25</v>
      </c>
    </row>
    <row r="47" spans="1:65" s="244" customFormat="1" ht="14.5">
      <c r="A47" s="372"/>
      <c r="B47" s="38" t="s">
        <v>1133</v>
      </c>
      <c r="C47" s="155"/>
      <c r="E47" s="415">
        <v>4.25</v>
      </c>
    </row>
  </sheetData>
  <sheetProtection algorithmName="SHA-512" hashValue="ErmC+SXf/2FOvD5cVefM/m2b0Qk3JtfWScYVMnsFQPesih/zXRSNUbwqz0QqlgSMqW2UOqtmrZpi79WV/Sl8Hg==" saltValue="wm5rMfyAqGP9Evj4/DHaww==" spinCount="100000" sheet="1" objects="1" scenarios="1" autoFilter="0"/>
  <phoneticPr fontId="8" type="noConversion"/>
  <dataValidations count="5">
    <dataValidation type="custom" allowBlank="1" showInputMessage="1" showErrorMessage="1" error="Please enter a numeric value." sqref="BF5:BM18" xr:uid="{807A15A1-F07E-4A6C-A869-53B373B0B23D}">
      <formula1>ISNUMBER(BF5:BM30)</formula1>
    </dataValidation>
    <dataValidation type="custom" allowBlank="1" showInputMessage="1" showErrorMessage="1" error="Please enter a numeric value." sqref="BF19:BM19" xr:uid="{D403EF7D-C165-49E6-8254-FD82E93114E7}">
      <formula1>ISNUMBER(BF19:BM51)</formula1>
    </dataValidation>
    <dataValidation type="custom" allowBlank="1" showInputMessage="1" showErrorMessage="1" error="Please enter a numeric value." sqref="BF20:BM21" xr:uid="{DF2C4135-801A-4FC9-8CB4-259B30BFB616}">
      <formula1>ISNUMBER(BF20:BM53)</formula1>
    </dataValidation>
    <dataValidation type="custom" allowBlank="1" showInputMessage="1" showErrorMessage="1" error="Please enter a numeric value." sqref="BF22:BM23" xr:uid="{CCDADB38-C58D-446C-AFF3-64A92221882F}">
      <formula1>ISNUMBER(BF22:BM57)</formula1>
    </dataValidation>
    <dataValidation type="custom" allowBlank="1" showInputMessage="1" showErrorMessage="1" error="Please enter a numeric value." sqref="BF24:BM30" xr:uid="{0D7D6B53-52BF-4558-91EE-1C4FA8FA98CB}">
      <formula1>ISNUMBER(BF24:BM62)</formula1>
    </dataValidation>
  </dataValidations>
  <hyperlinks>
    <hyperlink ref="B35" r:id="rId1" xr:uid="{E927F607-DD36-4C69-A89F-B88D80C3BB99}"/>
    <hyperlink ref="B36" r:id="rId2" display="https://www.thewindpower.net/wind-turbine-datasheet-175-enercon-e44-600.php?" xr:uid="{13C931A5-DF79-4342-B3BA-F4AFDC9A2ED1}"/>
    <hyperlink ref="B37" r:id="rId3" display="https://www.goldwindamericas.com/sites/default/files/GW155-4.5MW-new.pdf" xr:uid="{4300E50D-9C30-447E-A983-4C4E80BBCB60}"/>
    <hyperlink ref="B38" r:id="rId4" display="https://www.nordex-online.com/en/product/n163-5-x/" xr:uid="{BED28BA0-4C37-4B92-B304-6E49B3E87BAC}"/>
    <hyperlink ref="B39" r:id="rId5" display="https://ia801900.us.archive.org/8/items/CDR-PDF-000038/CDR-PDF-000038-Brochures-Vestas-V112.pdf" xr:uid="{6F19A61B-770B-4376-BFD5-3364643BDDD9}"/>
    <hyperlink ref="B40" r:id="rId6" xr:uid="{539158EA-4E92-4C1D-9625-0FDB42E314DC}"/>
    <hyperlink ref="B41" r:id="rId7" display="https://www.vestas.com/en/energy-solutions/onshore-wind-turbines/enventus-platform/v162-6-2-mw" xr:uid="{3D98A2B9-2763-4668-A7C3-E35AB7A1C6DD}"/>
    <hyperlink ref="B42" r:id="rId8" display="https://docslib.org/doc/2212090/technical-documentation-wind-turbine-generator-systems-3-6-137-50-60-hz" xr:uid="{B44276B8-F3F2-41C3-9B87-6A71220DFE72}"/>
    <hyperlink ref="B43" r:id="rId9" display="https://en.wind-turbine-models.com/turbines/1552-ge-vernova-ge-3.8-130" xr:uid="{ACB0A8D3-AF4D-47E5-9618-0D1D56D514AF}"/>
    <hyperlink ref="B3" location="Information" display="Return to Information" xr:uid="{70D9AE2F-AF87-49E5-AB9C-A5CD2C091A6A}"/>
    <hyperlink ref="B44" r:id="rId10" display="https://www.ledsjovind.se/ventosum/Vestas_V47.pdf" xr:uid="{97A61E21-C542-4EA9-9809-AB323CE77FA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9A92B-C580-4A9F-A076-9F661D5C3700}">
  <sheetPr codeName="Sheet16">
    <tabColor theme="5" tint="0.39997558519241921"/>
  </sheetPr>
  <dimension ref="A2:N27"/>
  <sheetViews>
    <sheetView showGridLines="0" zoomScaleNormal="100" workbookViewId="0">
      <pane xSplit="3" ySplit="4" topLeftCell="D5" activePane="bottomRight" state="frozen"/>
      <selection pane="topRight" activeCell="D904" sqref="D904"/>
      <selection pane="bottomLeft" activeCell="D904" sqref="D904"/>
      <selection pane="bottomRight"/>
    </sheetView>
  </sheetViews>
  <sheetFormatPr defaultColWidth="8.7265625" defaultRowHeight="12.5"/>
  <cols>
    <col min="1" max="1" width="3.453125" style="219" customWidth="1"/>
    <col min="2" max="2" width="34.7265625" style="219" customWidth="1"/>
    <col min="3" max="3" width="10.54296875" style="219" customWidth="1"/>
    <col min="4" max="4" width="6.1796875" style="219" customWidth="1"/>
    <col min="5" max="5" width="6.1796875" style="416" customWidth="1"/>
    <col min="6" max="7" width="6.1796875" style="219" customWidth="1"/>
    <col min="8" max="11" width="6.26953125" style="219" customWidth="1"/>
    <col min="12" max="14" width="6" style="219" customWidth="1"/>
    <col min="15" max="18" width="10.54296875" style="219" customWidth="1"/>
    <col min="19" max="16384" width="8.7265625" style="219"/>
  </cols>
  <sheetData>
    <row r="2" spans="2:14" ht="13">
      <c r="B2" s="226" t="str">
        <f>Project_Name</f>
        <v xml:space="preserve">South Australia Hydrogen and Renewable Energy Restoration Cost Estimation Tool </v>
      </c>
    </row>
    <row r="3" spans="2:14">
      <c r="B3" s="5" t="s">
        <v>47</v>
      </c>
    </row>
    <row r="4" spans="2:14" ht="114.5">
      <c r="B4" s="362" t="s">
        <v>35</v>
      </c>
      <c r="C4" s="412" t="s">
        <v>82</v>
      </c>
      <c r="D4" s="175" t="s">
        <v>138</v>
      </c>
      <c r="E4" s="175" t="s">
        <v>1134</v>
      </c>
      <c r="F4" s="175" t="s">
        <v>1135</v>
      </c>
      <c r="G4" s="185" t="s">
        <v>1094</v>
      </c>
      <c r="H4" s="185" t="s">
        <v>1095</v>
      </c>
      <c r="I4" s="185" t="s">
        <v>1096</v>
      </c>
      <c r="J4" s="185" t="s">
        <v>1100</v>
      </c>
      <c r="K4" s="185" t="s">
        <v>1101</v>
      </c>
      <c r="L4" s="185" t="s">
        <v>1102</v>
      </c>
      <c r="M4" s="185" t="s">
        <v>1103</v>
      </c>
      <c r="N4" s="185" t="s">
        <v>1104</v>
      </c>
    </row>
    <row r="5" spans="2:14">
      <c r="B5" s="176" t="s">
        <v>88</v>
      </c>
      <c r="C5" s="177" t="s">
        <v>530</v>
      </c>
      <c r="D5" s="409"/>
      <c r="E5" s="417">
        <v>3.9</v>
      </c>
      <c r="F5" s="409">
        <v>15.6</v>
      </c>
      <c r="G5" s="170"/>
      <c r="H5" s="170"/>
      <c r="I5" s="170"/>
      <c r="J5" s="170"/>
      <c r="K5" s="170"/>
      <c r="L5" s="170"/>
      <c r="M5" s="170"/>
      <c r="N5" s="170"/>
    </row>
    <row r="6" spans="2:14">
      <c r="B6" s="176" t="s">
        <v>416</v>
      </c>
      <c r="C6" s="146" t="s">
        <v>318</v>
      </c>
      <c r="D6" s="413"/>
      <c r="E6" s="187">
        <v>30.5</v>
      </c>
      <c r="F6" s="409">
        <v>38.1</v>
      </c>
      <c r="G6" s="186"/>
      <c r="H6" s="186"/>
      <c r="I6" s="186"/>
      <c r="J6" s="186"/>
      <c r="K6" s="186"/>
      <c r="L6" s="186"/>
      <c r="M6" s="186"/>
      <c r="N6" s="186"/>
    </row>
    <row r="7" spans="2:14" ht="13">
      <c r="B7" s="414" t="s">
        <v>1136</v>
      </c>
    </row>
    <row r="8" spans="2:14">
      <c r="B8" s="176" t="s">
        <v>1137</v>
      </c>
      <c r="C8" s="146" t="s">
        <v>1090</v>
      </c>
      <c r="D8" s="178"/>
      <c r="E8" s="188">
        <v>0.42</v>
      </c>
      <c r="F8" s="178">
        <v>0.43</v>
      </c>
      <c r="G8" s="171"/>
      <c r="H8" s="171"/>
      <c r="I8" s="171"/>
      <c r="J8" s="171"/>
      <c r="K8" s="171"/>
      <c r="L8" s="171"/>
      <c r="M8" s="171"/>
      <c r="N8" s="171"/>
    </row>
    <row r="9" spans="2:14">
      <c r="B9" s="176" t="s">
        <v>419</v>
      </c>
      <c r="C9" s="146" t="s">
        <v>1090</v>
      </c>
      <c r="D9" s="178"/>
      <c r="E9" s="188">
        <v>0.06</v>
      </c>
      <c r="F9" s="178">
        <v>0.06</v>
      </c>
      <c r="G9" s="171"/>
      <c r="H9" s="171"/>
      <c r="I9" s="171"/>
      <c r="J9" s="171"/>
      <c r="K9" s="171"/>
      <c r="L9" s="171"/>
      <c r="M9" s="171"/>
      <c r="N9" s="171"/>
    </row>
    <row r="10" spans="2:14">
      <c r="B10" s="176" t="s">
        <v>420</v>
      </c>
      <c r="C10" s="146" t="s">
        <v>1090</v>
      </c>
      <c r="D10" s="178"/>
      <c r="E10" s="188">
        <v>0.09</v>
      </c>
      <c r="F10" s="178">
        <v>0.1</v>
      </c>
      <c r="G10" s="171"/>
      <c r="H10" s="171"/>
      <c r="I10" s="171"/>
      <c r="J10" s="171"/>
      <c r="K10" s="171"/>
      <c r="L10" s="171"/>
      <c r="M10" s="171"/>
      <c r="N10" s="171"/>
    </row>
    <row r="11" spans="2:14">
      <c r="B11" s="176" t="s">
        <v>1138</v>
      </c>
      <c r="C11" s="146" t="s">
        <v>1090</v>
      </c>
      <c r="D11" s="178"/>
      <c r="E11" s="188">
        <v>0.25</v>
      </c>
      <c r="F11" s="178">
        <v>0.24</v>
      </c>
      <c r="G11" s="171"/>
      <c r="H11" s="171"/>
      <c r="I11" s="171"/>
      <c r="J11" s="171"/>
      <c r="K11" s="171"/>
      <c r="L11" s="171"/>
      <c r="M11" s="171"/>
      <c r="N11" s="171"/>
    </row>
    <row r="12" spans="2:14">
      <c r="B12" s="176" t="s">
        <v>1139</v>
      </c>
      <c r="C12" s="146" t="s">
        <v>1090</v>
      </c>
      <c r="D12" s="178"/>
      <c r="E12" s="188">
        <v>0.02</v>
      </c>
      <c r="F12" s="178">
        <v>0.02</v>
      </c>
      <c r="G12" s="171"/>
      <c r="H12" s="171"/>
      <c r="I12" s="171"/>
      <c r="J12" s="171"/>
      <c r="K12" s="171"/>
      <c r="L12" s="171"/>
      <c r="M12" s="171"/>
      <c r="N12" s="171"/>
    </row>
    <row r="13" spans="2:14">
      <c r="B13" s="176" t="s">
        <v>1140</v>
      </c>
      <c r="C13" s="146" t="s">
        <v>1090</v>
      </c>
      <c r="D13" s="178"/>
      <c r="E13" s="188">
        <v>7.0000000000000007E-2</v>
      </c>
      <c r="F13" s="178">
        <v>0.06</v>
      </c>
      <c r="G13" s="171"/>
      <c r="H13" s="171"/>
      <c r="I13" s="171"/>
      <c r="J13" s="171"/>
      <c r="K13" s="171"/>
      <c r="L13" s="171"/>
      <c r="M13" s="171"/>
      <c r="N13" s="171"/>
    </row>
    <row r="14" spans="2:14">
      <c r="B14" s="176" t="s">
        <v>1141</v>
      </c>
      <c r="C14" s="146" t="s">
        <v>1090</v>
      </c>
      <c r="D14" s="178"/>
      <c r="E14" s="188">
        <v>0.03</v>
      </c>
      <c r="F14" s="178">
        <v>0.03</v>
      </c>
      <c r="G14" s="171"/>
      <c r="H14" s="171"/>
      <c r="I14" s="171"/>
      <c r="J14" s="171"/>
      <c r="K14" s="171"/>
      <c r="L14" s="171"/>
      <c r="M14" s="171"/>
      <c r="N14" s="171"/>
    </row>
    <row r="15" spans="2:14">
      <c r="B15" s="176" t="s">
        <v>1142</v>
      </c>
      <c r="C15" s="146" t="s">
        <v>1090</v>
      </c>
      <c r="D15" s="178"/>
      <c r="E15" s="188">
        <v>0.01</v>
      </c>
      <c r="F15" s="178">
        <v>0.01</v>
      </c>
      <c r="G15" s="171"/>
      <c r="H15" s="171"/>
      <c r="I15" s="171"/>
      <c r="J15" s="171"/>
      <c r="K15" s="171"/>
      <c r="L15" s="171"/>
      <c r="M15" s="171"/>
      <c r="N15" s="171"/>
    </row>
    <row r="16" spans="2:14">
      <c r="B16" s="176" t="s">
        <v>1143</v>
      </c>
      <c r="C16" s="146" t="s">
        <v>1090</v>
      </c>
      <c r="D16" s="178"/>
      <c r="E16" s="188">
        <v>5.0000000000000001E-3</v>
      </c>
      <c r="F16" s="178">
        <v>5.0000000000000001E-3</v>
      </c>
      <c r="G16" s="171"/>
      <c r="H16" s="171"/>
      <c r="I16" s="171"/>
      <c r="J16" s="171"/>
      <c r="K16" s="171"/>
      <c r="L16" s="171"/>
      <c r="M16" s="171"/>
      <c r="N16" s="171"/>
    </row>
    <row r="17" spans="1:14" ht="13">
      <c r="B17" s="414" t="s">
        <v>1144</v>
      </c>
      <c r="E17" s="189"/>
    </row>
    <row r="18" spans="1:14">
      <c r="B18" s="176" t="s">
        <v>1088</v>
      </c>
      <c r="C18" s="146" t="s">
        <v>299</v>
      </c>
      <c r="D18" s="413"/>
      <c r="E18" s="418">
        <v>7.25</v>
      </c>
      <c r="F18" s="411">
        <v>8.8000000000000007</v>
      </c>
      <c r="G18" s="186"/>
      <c r="H18" s="186"/>
      <c r="I18" s="186"/>
      <c r="J18" s="186"/>
      <c r="K18" s="186"/>
      <c r="L18" s="186"/>
      <c r="M18" s="186"/>
      <c r="N18" s="186"/>
    </row>
    <row r="19" spans="1:14">
      <c r="B19" s="176" t="s">
        <v>1145</v>
      </c>
      <c r="C19" s="146" t="s">
        <v>299</v>
      </c>
      <c r="D19" s="413"/>
      <c r="E19" s="418">
        <v>1.6</v>
      </c>
      <c r="F19" s="411">
        <v>1.65</v>
      </c>
      <c r="G19" s="186"/>
      <c r="H19" s="186"/>
      <c r="I19" s="186"/>
      <c r="J19" s="186"/>
      <c r="K19" s="186"/>
      <c r="L19" s="186"/>
      <c r="M19" s="186"/>
      <c r="N19" s="186"/>
    </row>
    <row r="20" spans="1:14">
      <c r="B20" s="176" t="s">
        <v>1146</v>
      </c>
      <c r="C20" s="146" t="s">
        <v>299</v>
      </c>
      <c r="D20" s="409"/>
      <c r="E20" s="418">
        <v>2.5070000000000001</v>
      </c>
      <c r="F20" s="411">
        <v>2.7850000000000001</v>
      </c>
      <c r="G20" s="170"/>
      <c r="H20" s="170"/>
      <c r="I20" s="170"/>
      <c r="J20" s="170"/>
      <c r="K20" s="170"/>
      <c r="L20" s="170"/>
      <c r="M20" s="170"/>
      <c r="N20" s="170"/>
    </row>
    <row r="21" spans="1:14" ht="13">
      <c r="B21" s="176" t="s">
        <v>1089</v>
      </c>
      <c r="C21" s="146" t="s">
        <v>274</v>
      </c>
      <c r="D21" s="182"/>
      <c r="E21" s="190">
        <f>E18*E19</f>
        <v>11.600000000000001</v>
      </c>
      <c r="F21" s="190">
        <f>F18*F19</f>
        <v>14.52</v>
      </c>
      <c r="G21" s="190">
        <f t="shared" ref="G21:N21" si="0">G18*G19</f>
        <v>0</v>
      </c>
      <c r="H21" s="190">
        <f t="shared" si="0"/>
        <v>0</v>
      </c>
      <c r="I21" s="190">
        <f t="shared" si="0"/>
        <v>0</v>
      </c>
      <c r="J21" s="190">
        <f t="shared" si="0"/>
        <v>0</v>
      </c>
      <c r="K21" s="190">
        <f t="shared" si="0"/>
        <v>0</v>
      </c>
      <c r="L21" s="190">
        <f t="shared" si="0"/>
        <v>0</v>
      </c>
      <c r="M21" s="190">
        <f t="shared" si="0"/>
        <v>0</v>
      </c>
      <c r="N21" s="190">
        <f t="shared" si="0"/>
        <v>0</v>
      </c>
    </row>
    <row r="22" spans="1:14" ht="13">
      <c r="B22" s="176" t="s">
        <v>1147</v>
      </c>
      <c r="C22" s="146" t="s">
        <v>274</v>
      </c>
      <c r="D22" s="190">
        <f>D21*1.1</f>
        <v>0</v>
      </c>
      <c r="E22" s="190">
        <f>E21*1.1</f>
        <v>12.760000000000003</v>
      </c>
      <c r="F22" s="190">
        <f t="shared" ref="F22:N22" si="1">F21*1.1</f>
        <v>15.972000000000001</v>
      </c>
      <c r="G22" s="190">
        <f t="shared" si="1"/>
        <v>0</v>
      </c>
      <c r="H22" s="190">
        <f t="shared" si="1"/>
        <v>0</v>
      </c>
      <c r="I22" s="190">
        <f t="shared" si="1"/>
        <v>0</v>
      </c>
      <c r="J22" s="190">
        <f t="shared" si="1"/>
        <v>0</v>
      </c>
      <c r="K22" s="190">
        <f t="shared" si="1"/>
        <v>0</v>
      </c>
      <c r="L22" s="190">
        <f t="shared" si="1"/>
        <v>0</v>
      </c>
      <c r="M22" s="190">
        <f t="shared" si="1"/>
        <v>0</v>
      </c>
      <c r="N22" s="190">
        <f t="shared" si="1"/>
        <v>0</v>
      </c>
    </row>
    <row r="23" spans="1:14" ht="13">
      <c r="B23" s="414" t="s">
        <v>1148</v>
      </c>
    </row>
    <row r="24" spans="1:14">
      <c r="B24" s="176" t="s">
        <v>1149</v>
      </c>
      <c r="C24" s="146" t="s">
        <v>1150</v>
      </c>
      <c r="D24" s="409"/>
      <c r="E24" s="417">
        <v>360</v>
      </c>
      <c r="F24" s="409">
        <v>360</v>
      </c>
      <c r="G24" s="170"/>
      <c r="H24" s="170"/>
      <c r="I24" s="170"/>
      <c r="J24" s="170"/>
      <c r="K24" s="170"/>
      <c r="L24" s="170"/>
      <c r="M24" s="170"/>
      <c r="N24" s="170"/>
    </row>
    <row r="26" spans="1:14">
      <c r="A26" s="219">
        <v>1</v>
      </c>
      <c r="B26" s="154" t="s">
        <v>1151</v>
      </c>
    </row>
    <row r="27" spans="1:14">
      <c r="A27" s="219">
        <v>2</v>
      </c>
      <c r="B27" s="154" t="s">
        <v>1152</v>
      </c>
    </row>
  </sheetData>
  <sheetProtection algorithmName="SHA-512" hashValue="aACeCmbNFwdkfbb4A8R2PI4aUUhjLRrZbkh+WMVPlQ9txxn3KB723Q7R4QUK9DplmWu7quoRDg39xgjkzUGi1Q==" saltValue="UJTI7EB40bbKtbaErzcSIA==" spinCount="100000" sheet="1" objects="1" scenarios="1" autoFilter="0"/>
  <phoneticPr fontId="8" type="noConversion"/>
  <dataValidations count="1">
    <dataValidation type="custom" allowBlank="1" showInputMessage="1" showErrorMessage="1" error="Please enter a numeric value." sqref="G5:N20 G22:N24" xr:uid="{4BF7085F-C61B-4C39-887D-8B6E3048B3D8}">
      <formula1>ISNUMBER(G5:N24)</formula1>
    </dataValidation>
  </dataValidations>
  <hyperlinks>
    <hyperlink ref="B26" r:id="rId1" display="https://marketingdocuments.energytoolbase.com/marketing/TeslaMegapack2Datasheet.pdf" xr:uid="{0CCFDBEE-10B9-41B9-90DF-E32883EF82C7}"/>
    <hyperlink ref="B27" r:id="rId2" display="https://www.carverma.gov/sites/g/files/vyhlif4221/f/uploads/megapack_2_xl_datasheet_0.pdf" xr:uid="{9CBBDFF9-EDFF-4F71-BEC0-4CFF42F90C8B}"/>
    <hyperlink ref="B3" location="Information" display="Return to Information" xr:uid="{82F57BC9-3A2B-4800-BECD-06A2F776219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815B-992B-4FB1-824D-4AD1292DB726}">
  <sheetPr codeName="Sheet17">
    <tabColor theme="5" tint="0.39997558519241921"/>
  </sheetPr>
  <dimension ref="A2:N18"/>
  <sheetViews>
    <sheetView showGridLines="0" zoomScaleNormal="100" workbookViewId="0">
      <pane xSplit="3" ySplit="4" topLeftCell="D5" activePane="bottomRight" state="frozen"/>
      <selection pane="topRight" activeCell="D904" sqref="D904"/>
      <selection pane="bottomLeft" activeCell="D904" sqref="D904"/>
      <selection pane="bottomRight"/>
    </sheetView>
  </sheetViews>
  <sheetFormatPr defaultColWidth="8.7265625" defaultRowHeight="12.5"/>
  <cols>
    <col min="1" max="1" width="3.453125" style="219" customWidth="1"/>
    <col min="2" max="2" width="75.1796875" style="219" bestFit="1" customWidth="1"/>
    <col min="3" max="3" width="10.54296875" style="219" customWidth="1"/>
    <col min="4" max="4" width="10.7265625" style="219" customWidth="1"/>
    <col min="5" max="5" width="13.26953125" style="416" customWidth="1"/>
    <col min="6" max="14" width="13.26953125" style="219" customWidth="1"/>
    <col min="15" max="18" width="10.54296875" style="219" customWidth="1"/>
    <col min="19" max="16384" width="8.7265625" style="219"/>
  </cols>
  <sheetData>
    <row r="2" spans="2:14" ht="18.75" customHeight="1">
      <c r="B2" s="243" t="str">
        <f>Project_Name</f>
        <v xml:space="preserve">South Australia Hydrogen and Renewable Energy Restoration Cost Estimation Tool </v>
      </c>
    </row>
    <row r="3" spans="2:14">
      <c r="B3" s="5" t="s">
        <v>47</v>
      </c>
    </row>
    <row r="4" spans="2:14" ht="117" customHeight="1">
      <c r="B4" s="362" t="s">
        <v>1153</v>
      </c>
      <c r="C4" s="412" t="s">
        <v>82</v>
      </c>
      <c r="D4" s="175" t="s">
        <v>138</v>
      </c>
      <c r="E4" s="191" t="str">
        <f>CONCATENATE(E5,"-",E6,"-",E7," ",E8,"MW")</f>
        <v>Thyssenkrupp nucera-Scalum-Alkaline 20MW</v>
      </c>
      <c r="F4" s="191" t="str">
        <f t="shared" ref="F4:J4" si="0">CONCATENATE(F5,"-",F6,"-",F7," ",F8,"MW")</f>
        <v>FEST Group-gEL400-PEM 2MW</v>
      </c>
      <c r="G4" s="191" t="str">
        <f t="shared" si="0"/>
        <v>FEST Group-gEL500-PEM 2.5MW</v>
      </c>
      <c r="H4" s="191" t="str">
        <f t="shared" si="0"/>
        <v>FEST Group-gEL600-PEM 3MW</v>
      </c>
      <c r="I4" s="191" t="str">
        <f t="shared" si="0"/>
        <v>FEST Group-gEL1000 / 1000R-PEM 5MW</v>
      </c>
      <c r="J4" s="191" t="str">
        <f t="shared" si="0"/>
        <v>Nel Hydrogen-PSM Series-PEM 10MW</v>
      </c>
      <c r="K4" s="191" t="str">
        <f>CONCATENATE(K5,"-",K6,"-",K7," ",K8,"MW")</f>
        <v>Siemens-Elyzer® P-300-PEM MW</v>
      </c>
      <c r="L4" s="202" t="s">
        <v>1094</v>
      </c>
      <c r="M4" s="202" t="s">
        <v>1095</v>
      </c>
      <c r="N4" s="202" t="s">
        <v>1096</v>
      </c>
    </row>
    <row r="5" spans="2:14" s="368" customFormat="1" ht="25">
      <c r="B5" s="192" t="s">
        <v>1154</v>
      </c>
      <c r="C5" s="193"/>
      <c r="D5" s="419"/>
      <c r="E5" s="420" t="s">
        <v>1155</v>
      </c>
      <c r="F5" s="421" t="s">
        <v>1156</v>
      </c>
      <c r="G5" s="421" t="s">
        <v>1156</v>
      </c>
      <c r="H5" s="421" t="s">
        <v>1156</v>
      </c>
      <c r="I5" s="421" t="s">
        <v>1156</v>
      </c>
      <c r="J5" s="421" t="s">
        <v>1157</v>
      </c>
      <c r="K5" s="421" t="s">
        <v>1158</v>
      </c>
      <c r="L5" s="203"/>
      <c r="M5" s="203"/>
      <c r="N5" s="203"/>
    </row>
    <row r="6" spans="2:14" ht="25">
      <c r="B6" s="176" t="s">
        <v>410</v>
      </c>
      <c r="C6" s="146"/>
      <c r="D6" s="410"/>
      <c r="E6" s="194" t="s">
        <v>1159</v>
      </c>
      <c r="F6" s="421" t="s">
        <v>1160</v>
      </c>
      <c r="G6" s="421" t="s">
        <v>1161</v>
      </c>
      <c r="H6" s="421" t="s">
        <v>1162</v>
      </c>
      <c r="I6" s="421" t="s">
        <v>1163</v>
      </c>
      <c r="J6" s="421" t="s">
        <v>1164</v>
      </c>
      <c r="K6" s="421" t="s">
        <v>1165</v>
      </c>
      <c r="L6" s="204"/>
      <c r="M6" s="204"/>
      <c r="N6" s="204"/>
    </row>
    <row r="7" spans="2:14">
      <c r="B7" s="176" t="s">
        <v>1166</v>
      </c>
      <c r="C7" s="146"/>
      <c r="D7" s="195"/>
      <c r="E7" s="196" t="s">
        <v>1167</v>
      </c>
      <c r="F7" s="195" t="s">
        <v>1168</v>
      </c>
      <c r="G7" s="195" t="s">
        <v>1168</v>
      </c>
      <c r="H7" s="195" t="s">
        <v>1168</v>
      </c>
      <c r="I7" s="195" t="s">
        <v>1168</v>
      </c>
      <c r="J7" s="195" t="s">
        <v>1168</v>
      </c>
      <c r="K7" s="195" t="s">
        <v>1168</v>
      </c>
      <c r="L7" s="205"/>
      <c r="M7" s="205"/>
      <c r="N7" s="205"/>
    </row>
    <row r="8" spans="2:14">
      <c r="B8" s="176" t="s">
        <v>88</v>
      </c>
      <c r="C8" s="146" t="s">
        <v>89</v>
      </c>
      <c r="D8" s="197"/>
      <c r="E8" s="187">
        <v>20</v>
      </c>
      <c r="F8" s="197">
        <v>2</v>
      </c>
      <c r="G8" s="197">
        <v>2.5</v>
      </c>
      <c r="H8" s="197">
        <v>3</v>
      </c>
      <c r="I8" s="197">
        <v>5</v>
      </c>
      <c r="J8" s="197">
        <v>10</v>
      </c>
      <c r="K8" s="197"/>
      <c r="L8" s="206"/>
      <c r="M8" s="206"/>
      <c r="N8" s="206"/>
    </row>
    <row r="9" spans="2:14">
      <c r="B9" s="176" t="s">
        <v>416</v>
      </c>
      <c r="C9" s="146" t="s">
        <v>1169</v>
      </c>
      <c r="D9" s="197"/>
      <c r="E9" s="187">
        <v>9</v>
      </c>
      <c r="F9" s="197">
        <v>0.9</v>
      </c>
      <c r="G9" s="197">
        <v>1.1000000000000001</v>
      </c>
      <c r="H9" s="197">
        <v>1.35</v>
      </c>
      <c r="I9" s="197">
        <v>2.25</v>
      </c>
      <c r="J9" s="197">
        <v>4.5</v>
      </c>
      <c r="K9" s="197">
        <v>7.9</v>
      </c>
      <c r="L9" s="206"/>
      <c r="M9" s="206"/>
      <c r="N9" s="206"/>
    </row>
    <row r="10" spans="2:14">
      <c r="B10" s="176" t="s">
        <v>1170</v>
      </c>
      <c r="C10" s="146" t="s">
        <v>1171</v>
      </c>
      <c r="D10" s="198"/>
      <c r="E10" s="199">
        <v>0</v>
      </c>
      <c r="F10" s="198">
        <v>0</v>
      </c>
      <c r="G10" s="198">
        <v>0</v>
      </c>
      <c r="H10" s="198">
        <v>0</v>
      </c>
      <c r="I10" s="198">
        <v>3</v>
      </c>
      <c r="J10" s="198">
        <v>1</v>
      </c>
      <c r="K10" s="198"/>
      <c r="L10" s="207"/>
      <c r="M10" s="207"/>
      <c r="N10" s="207"/>
    </row>
    <row r="11" spans="2:14">
      <c r="B11" s="176" t="s">
        <v>1170</v>
      </c>
      <c r="C11" s="146" t="s">
        <v>1172</v>
      </c>
      <c r="D11" s="198"/>
      <c r="E11" s="199">
        <v>2</v>
      </c>
      <c r="F11" s="198">
        <v>2</v>
      </c>
      <c r="G11" s="198">
        <v>2</v>
      </c>
      <c r="H11" s="198">
        <v>2</v>
      </c>
      <c r="I11" s="198">
        <v>1</v>
      </c>
      <c r="J11" s="198">
        <v>1</v>
      </c>
      <c r="K11" s="198"/>
      <c r="L11" s="207"/>
      <c r="M11" s="207"/>
      <c r="N11" s="207"/>
    </row>
    <row r="12" spans="2:14" ht="13">
      <c r="B12" s="414" t="s">
        <v>1173</v>
      </c>
    </row>
    <row r="13" spans="2:14" ht="13">
      <c r="B13" s="176" t="s">
        <v>1174</v>
      </c>
      <c r="C13" s="146" t="s">
        <v>577</v>
      </c>
      <c r="D13" s="200">
        <f t="shared" ref="D13:N13" si="1">D9*kilograms_in_tonnes*Water_demand_greenH2/(Litres_in_kilolitres*Kilolitres_in_megalitres)</f>
        <v>0</v>
      </c>
      <c r="E13" s="200">
        <f t="shared" si="1"/>
        <v>0.13500000000000001</v>
      </c>
      <c r="F13" s="200">
        <f t="shared" si="1"/>
        <v>1.35E-2</v>
      </c>
      <c r="G13" s="200">
        <f t="shared" si="1"/>
        <v>1.6500000000000001E-2</v>
      </c>
      <c r="H13" s="200">
        <f t="shared" si="1"/>
        <v>2.0250000000000001E-2</v>
      </c>
      <c r="I13" s="200">
        <f t="shared" si="1"/>
        <v>3.3750000000000002E-2</v>
      </c>
      <c r="J13" s="200">
        <f t="shared" si="1"/>
        <v>6.7500000000000004E-2</v>
      </c>
      <c r="K13" s="200">
        <f t="shared" si="1"/>
        <v>0.11849999999999999</v>
      </c>
      <c r="L13" s="200">
        <f t="shared" si="1"/>
        <v>0</v>
      </c>
      <c r="M13" s="200">
        <f t="shared" si="1"/>
        <v>0</v>
      </c>
      <c r="N13" s="200">
        <f t="shared" si="1"/>
        <v>0</v>
      </c>
    </row>
    <row r="14" spans="2:14" ht="13">
      <c r="B14" s="414" t="s">
        <v>1148</v>
      </c>
      <c r="E14" s="219"/>
    </row>
    <row r="15" spans="2:14" ht="13">
      <c r="B15" s="176" t="s">
        <v>1175</v>
      </c>
      <c r="C15" s="146" t="s">
        <v>445</v>
      </c>
      <c r="D15" s="201">
        <f>D8*3</f>
        <v>0</v>
      </c>
      <c r="E15" s="201">
        <f t="shared" ref="E15:N15" si="2">E8*3</f>
        <v>60</v>
      </c>
      <c r="F15" s="201">
        <f t="shared" si="2"/>
        <v>6</v>
      </c>
      <c r="G15" s="201">
        <f t="shared" si="2"/>
        <v>7.5</v>
      </c>
      <c r="H15" s="201">
        <f t="shared" si="2"/>
        <v>9</v>
      </c>
      <c r="I15" s="201">
        <f t="shared" si="2"/>
        <v>15</v>
      </c>
      <c r="J15" s="201">
        <f t="shared" si="2"/>
        <v>30</v>
      </c>
      <c r="K15" s="201">
        <f t="shared" si="2"/>
        <v>0</v>
      </c>
      <c r="L15" s="201">
        <f t="shared" si="2"/>
        <v>0</v>
      </c>
      <c r="M15" s="201">
        <f t="shared" si="2"/>
        <v>0</v>
      </c>
      <c r="N15" s="201">
        <f t="shared" si="2"/>
        <v>0</v>
      </c>
    </row>
    <row r="17" spans="1:3" s="219" customFormat="1">
      <c r="A17" s="219">
        <v>1</v>
      </c>
      <c r="B17" s="154" t="s">
        <v>1176</v>
      </c>
      <c r="C17" s="416"/>
    </row>
    <row r="18" spans="1:3" s="219" customFormat="1">
      <c r="A18" s="219">
        <v>2</v>
      </c>
      <c r="B18" s="154" t="s">
        <v>1177</v>
      </c>
      <c r="C18" s="416"/>
    </row>
  </sheetData>
  <sheetProtection algorithmName="SHA-512" hashValue="CXPmNHE3KS/4n5YFYzcnBppBXyIdXv+kxOV9rr/KkAihchqcrUJsT8yza99d7S7v1g6pUQajtACk7mXCJqlPSw==" saltValue="rfeCH2Me04yDVVyx5noEsg==" spinCount="100000" sheet="1" objects="1" scenarios="1" autoFilter="0"/>
  <phoneticPr fontId="8" type="noConversion"/>
  <dataValidations count="2">
    <dataValidation type="custom" allowBlank="1" showInputMessage="1" showErrorMessage="1" error="Please enter a numeric value." sqref="L8:N11" xr:uid="{5196A08D-1B5F-454E-AE46-293089AC32A7}">
      <formula1>ISNUMBER(L8:N13)</formula1>
    </dataValidation>
    <dataValidation type="custom" allowBlank="1" showInputMessage="1" showErrorMessage="1" error="Please enter a numeric value." sqref="L12:N13" xr:uid="{3FAB3A17-11CF-478E-AE5F-E45FE8E3DF7A}">
      <formula1>ISNUMBER(L12:N16)</formula1>
    </dataValidation>
  </dataValidations>
  <hyperlinks>
    <hyperlink ref="B3" location="Information" display="Return to Information" xr:uid="{7D38FA91-3354-4184-B6E5-175D69A474BB}"/>
    <hyperlink ref="B17" r:id="rId1" display="https://fest-group.de/en/solutions/pem-electrolyzers/" xr:uid="{EECF3898-85C8-4039-AF0F-4E452D14DEDC}"/>
    <hyperlink ref="B18" r:id="rId2" display="https://nelhydrogen.com/product/psm-series-electrolyser/" xr:uid="{B7EA0B31-DC15-49AD-BDE0-D7AF5651746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9C26-D7B3-4E5E-A673-BAD654406D03}">
  <sheetPr codeName="Sheet18"/>
  <dimension ref="B1:D185"/>
  <sheetViews>
    <sheetView showGridLines="0" zoomScaleNormal="100" workbookViewId="0"/>
  </sheetViews>
  <sheetFormatPr defaultColWidth="8.7265625" defaultRowHeight="12.5"/>
  <cols>
    <col min="1" max="1" width="8.7265625" style="219"/>
    <col min="2" max="2" width="66.1796875" style="219" bestFit="1" customWidth="1"/>
    <col min="3" max="16384" width="8.7265625" style="219"/>
  </cols>
  <sheetData>
    <row r="1" spans="2:3" s="219" customFormat="1" ht="13">
      <c r="B1" s="422" t="s">
        <v>1178</v>
      </c>
    </row>
    <row r="2" spans="2:3" s="219" customFormat="1" ht="13">
      <c r="B2" s="226" t="str">
        <f>Project_Name</f>
        <v xml:space="preserve">South Australia Hydrogen and Renewable Energy Restoration Cost Estimation Tool </v>
      </c>
    </row>
    <row r="4" spans="2:3" s="219" customFormat="1" ht="13">
      <c r="B4" s="362" t="s">
        <v>1179</v>
      </c>
    </row>
    <row r="6" spans="2:3" s="219" customFormat="1">
      <c r="B6" s="423" t="s">
        <v>152</v>
      </c>
    </row>
    <row r="7" spans="2:3" s="219" customFormat="1">
      <c r="B7" s="423" t="s">
        <v>1180</v>
      </c>
    </row>
    <row r="8" spans="2:3" s="219" customFormat="1">
      <c r="B8" s="423" t="s">
        <v>1181</v>
      </c>
    </row>
    <row r="9" spans="2:3" s="219" customFormat="1">
      <c r="B9" s="423" t="s">
        <v>1182</v>
      </c>
    </row>
    <row r="11" spans="2:3" s="416" customFormat="1" ht="13">
      <c r="B11" s="230" t="s">
        <v>1183</v>
      </c>
      <c r="C11" s="424"/>
    </row>
    <row r="12" spans="2:3" s="416" customFormat="1">
      <c r="B12" s="423" t="str">
        <f>CONCATENATE("≤ ",C12,"m push")</f>
        <v>≤ 20m push</v>
      </c>
      <c r="C12" s="423">
        <v>20</v>
      </c>
    </row>
    <row r="13" spans="2:3" s="416" customFormat="1">
      <c r="B13" s="423" t="str">
        <f>CONCATENATE("&gt; ",C12,"m to ≤ ",C13,"m push")</f>
        <v>&gt; 20m to ≤ 50m push</v>
      </c>
      <c r="C13" s="423">
        <v>50</v>
      </c>
    </row>
    <row r="14" spans="2:3" s="416" customFormat="1">
      <c r="B14" s="423" t="str">
        <f>CONCATENATE("&gt; ",C13,"m to ≤ ",C14,"m push")</f>
        <v>&gt; 50m to ≤ 75m push</v>
      </c>
      <c r="C14" s="423">
        <v>75</v>
      </c>
    </row>
    <row r="15" spans="2:3" s="416" customFormat="1">
      <c r="B15" s="423" t="str">
        <f t="shared" ref="B15:B24" si="0">CONCATENATE("&gt; ",C14,"m to ≤ ",C15,"m push")</f>
        <v>&gt; 75m to ≤ 100m push</v>
      </c>
      <c r="C15" s="423">
        <v>100</v>
      </c>
    </row>
    <row r="16" spans="2:3" s="416" customFormat="1">
      <c r="B16" s="423" t="str">
        <f t="shared" si="0"/>
        <v>&gt; 100m to ≤ 125m push</v>
      </c>
      <c r="C16" s="423">
        <v>125</v>
      </c>
    </row>
    <row r="17" spans="2:3" s="416" customFormat="1">
      <c r="B17" s="423" t="str">
        <f t="shared" si="0"/>
        <v>&gt; 125m to ≤ 150m push</v>
      </c>
      <c r="C17" s="423">
        <v>150</v>
      </c>
    </row>
    <row r="18" spans="2:3" s="416" customFormat="1">
      <c r="B18" s="423" t="str">
        <f t="shared" si="0"/>
        <v>&gt; 150m to ≤ 200m push</v>
      </c>
      <c r="C18" s="423">
        <f t="shared" ref="C18:C25" si="1">C17+50</f>
        <v>200</v>
      </c>
    </row>
    <row r="19" spans="2:3" s="416" customFormat="1">
      <c r="B19" s="423" t="str">
        <f t="shared" si="0"/>
        <v>&gt; 200m to ≤ 250m push</v>
      </c>
      <c r="C19" s="423">
        <f t="shared" si="1"/>
        <v>250</v>
      </c>
    </row>
    <row r="20" spans="2:3" s="416" customFormat="1">
      <c r="B20" s="423" t="str">
        <f t="shared" si="0"/>
        <v>&gt; 250m to ≤ 300m push</v>
      </c>
      <c r="C20" s="423">
        <f t="shared" si="1"/>
        <v>300</v>
      </c>
    </row>
    <row r="21" spans="2:3" s="416" customFormat="1">
      <c r="B21" s="423" t="str">
        <f t="shared" si="0"/>
        <v>&gt; 300m to ≤ 350m push</v>
      </c>
      <c r="C21" s="423">
        <f t="shared" si="1"/>
        <v>350</v>
      </c>
    </row>
    <row r="22" spans="2:3" s="416" customFormat="1">
      <c r="B22" s="423" t="str">
        <f t="shared" si="0"/>
        <v>&gt; 350m to ≤ 400m push</v>
      </c>
      <c r="C22" s="423">
        <f t="shared" si="1"/>
        <v>400</v>
      </c>
    </row>
    <row r="23" spans="2:3" s="416" customFormat="1">
      <c r="B23" s="423" t="str">
        <f t="shared" si="0"/>
        <v>&gt; 400m to ≤ 450m push</v>
      </c>
      <c r="C23" s="423">
        <f t="shared" si="1"/>
        <v>450</v>
      </c>
    </row>
    <row r="24" spans="2:3" s="416" customFormat="1">
      <c r="B24" s="423" t="str">
        <f t="shared" si="0"/>
        <v>&gt; 450m to ≤ 500m push</v>
      </c>
      <c r="C24" s="423">
        <f t="shared" si="1"/>
        <v>500</v>
      </c>
    </row>
    <row r="25" spans="2:3" s="416" customFormat="1">
      <c r="B25" s="423" t="str">
        <f>CONCATENATE("&gt; ",C24,"m push")</f>
        <v>&gt; 500m push</v>
      </c>
      <c r="C25" s="423">
        <f t="shared" si="1"/>
        <v>550</v>
      </c>
    </row>
    <row r="26" spans="2:3" s="416" customFormat="1"/>
    <row r="27" spans="2:3" s="416" customFormat="1" ht="13">
      <c r="B27" s="425" t="s">
        <v>916</v>
      </c>
    </row>
    <row r="28" spans="2:3" s="416" customFormat="1">
      <c r="B28" s="423" t="s">
        <v>419</v>
      </c>
    </row>
    <row r="29" spans="2:3" s="416" customFormat="1">
      <c r="B29" s="423" t="s">
        <v>420</v>
      </c>
    </row>
    <row r="30" spans="2:3" s="416" customFormat="1">
      <c r="B30" s="423"/>
    </row>
    <row r="31" spans="2:3" s="416" customFormat="1">
      <c r="B31" s="426"/>
    </row>
    <row r="32" spans="2:3" s="219" customFormat="1" ht="13">
      <c r="B32" s="230" t="s">
        <v>120</v>
      </c>
    </row>
    <row r="33" spans="2:2" s="219" customFormat="1">
      <c r="B33" s="427" t="s">
        <v>226</v>
      </c>
    </row>
    <row r="34" spans="2:2" s="219" customFormat="1">
      <c r="B34" s="427" t="s">
        <v>215</v>
      </c>
    </row>
    <row r="35" spans="2:2" s="219" customFormat="1">
      <c r="B35" s="427" t="s">
        <v>217</v>
      </c>
    </row>
    <row r="36" spans="2:2" s="219" customFormat="1" ht="11.5" customHeight="1"/>
    <row r="37" spans="2:2" s="219" customFormat="1" ht="13">
      <c r="B37" s="230" t="s">
        <v>1184</v>
      </c>
    </row>
    <row r="38" spans="2:2" s="219" customFormat="1">
      <c r="B38" s="423" t="s">
        <v>1185</v>
      </c>
    </row>
    <row r="39" spans="2:2" s="219" customFormat="1">
      <c r="B39" s="423" t="s">
        <v>1186</v>
      </c>
    </row>
    <row r="40" spans="2:2" s="219" customFormat="1">
      <c r="B40" s="423" t="s">
        <v>1187</v>
      </c>
    </row>
    <row r="41" spans="2:2" s="219" customFormat="1">
      <c r="B41" s="423" t="s">
        <v>1188</v>
      </c>
    </row>
    <row r="42" spans="2:2" s="219" customFormat="1">
      <c r="B42" s="423" t="s">
        <v>1189</v>
      </c>
    </row>
    <row r="43" spans="2:2" s="219" customFormat="1">
      <c r="B43" s="423" t="s">
        <v>1190</v>
      </c>
    </row>
    <row r="44" spans="2:2" s="219" customFormat="1">
      <c r="B44" s="423" t="s">
        <v>1191</v>
      </c>
    </row>
    <row r="45" spans="2:2" s="219" customFormat="1">
      <c r="B45" s="423" t="s">
        <v>1192</v>
      </c>
    </row>
    <row r="46" spans="2:2" s="219" customFormat="1">
      <c r="B46" s="423" t="s">
        <v>1193</v>
      </c>
    </row>
    <row r="47" spans="2:2" s="219" customFormat="1">
      <c r="B47" s="423" t="s">
        <v>1194</v>
      </c>
    </row>
    <row r="48" spans="2:2" s="219" customFormat="1">
      <c r="B48" s="423" t="s">
        <v>1195</v>
      </c>
    </row>
    <row r="50" spans="2:3" s="219" customFormat="1" ht="13">
      <c r="B50" s="230" t="s">
        <v>1196</v>
      </c>
      <c r="C50" s="230" t="s">
        <v>735</v>
      </c>
    </row>
    <row r="51" spans="2:3" s="219" customFormat="1">
      <c r="B51" s="423" t="s">
        <v>1197</v>
      </c>
      <c r="C51" s="428">
        <v>2.5</v>
      </c>
    </row>
    <row r="52" spans="2:3" s="219" customFormat="1">
      <c r="B52" s="423" t="s">
        <v>1198</v>
      </c>
      <c r="C52" s="428">
        <v>7.5</v>
      </c>
    </row>
    <row r="53" spans="2:3" s="219" customFormat="1">
      <c r="B53" s="423" t="s">
        <v>1199</v>
      </c>
      <c r="C53" s="428">
        <v>12.5</v>
      </c>
    </row>
    <row r="54" spans="2:3" s="219" customFormat="1">
      <c r="B54" s="423" t="s">
        <v>1200</v>
      </c>
      <c r="C54" s="428">
        <v>17.5</v>
      </c>
    </row>
    <row r="55" spans="2:3" s="219" customFormat="1">
      <c r="B55" s="423" t="s">
        <v>1201</v>
      </c>
      <c r="C55" s="428">
        <v>22.5</v>
      </c>
    </row>
    <row r="56" spans="2:3" s="219" customFormat="1">
      <c r="B56" s="423" t="s">
        <v>1202</v>
      </c>
      <c r="C56" s="428">
        <v>27.5</v>
      </c>
    </row>
    <row r="57" spans="2:3" s="219" customFormat="1">
      <c r="B57" s="423" t="s">
        <v>1074</v>
      </c>
      <c r="C57" s="428">
        <v>32.5</v>
      </c>
    </row>
    <row r="58" spans="2:3" s="219" customFormat="1">
      <c r="B58" s="423" t="s">
        <v>1203</v>
      </c>
      <c r="C58" s="428">
        <v>37.5</v>
      </c>
    </row>
    <row r="59" spans="2:3" s="219" customFormat="1">
      <c r="B59" s="423" t="s">
        <v>1204</v>
      </c>
      <c r="C59" s="428">
        <v>42.5</v>
      </c>
    </row>
    <row r="60" spans="2:3" s="219" customFormat="1">
      <c r="B60" s="423" t="s">
        <v>1205</v>
      </c>
      <c r="C60" s="428">
        <v>47.5</v>
      </c>
    </row>
    <row r="61" spans="2:3" s="219" customFormat="1">
      <c r="B61" s="423" t="s">
        <v>1060</v>
      </c>
      <c r="C61" s="428">
        <v>55</v>
      </c>
    </row>
    <row r="62" spans="2:3" s="219" customFormat="1">
      <c r="B62" s="423" t="s">
        <v>1206</v>
      </c>
      <c r="C62" s="428">
        <v>65</v>
      </c>
    </row>
    <row r="63" spans="2:3" s="219" customFormat="1">
      <c r="B63" s="423" t="s">
        <v>1207</v>
      </c>
      <c r="C63" s="428">
        <v>75</v>
      </c>
    </row>
    <row r="64" spans="2:3" s="219" customFormat="1">
      <c r="B64" s="423" t="s">
        <v>1208</v>
      </c>
      <c r="C64" s="428">
        <v>85</v>
      </c>
    </row>
    <row r="65" spans="2:3" s="219" customFormat="1">
      <c r="B65" s="423" t="s">
        <v>1209</v>
      </c>
      <c r="C65" s="428">
        <v>95</v>
      </c>
    </row>
    <row r="66" spans="2:3" s="219" customFormat="1">
      <c r="B66" s="423" t="s">
        <v>1210</v>
      </c>
      <c r="C66" s="428">
        <v>125</v>
      </c>
    </row>
    <row r="67" spans="2:3" s="219" customFormat="1">
      <c r="B67" s="423" t="s">
        <v>1211</v>
      </c>
      <c r="C67" s="428">
        <v>175</v>
      </c>
    </row>
    <row r="68" spans="2:3" s="219" customFormat="1">
      <c r="B68" s="423" t="s">
        <v>1212</v>
      </c>
      <c r="C68" s="428">
        <v>225</v>
      </c>
    </row>
    <row r="69" spans="2:3" s="219" customFormat="1">
      <c r="B69" s="423" t="s">
        <v>1213</v>
      </c>
      <c r="C69" s="428">
        <v>250</v>
      </c>
    </row>
    <row r="71" spans="2:3" s="219" customFormat="1" ht="13">
      <c r="B71" s="230" t="s">
        <v>1214</v>
      </c>
    </row>
    <row r="72" spans="2:3" s="219" customFormat="1">
      <c r="B72" s="423" t="s">
        <v>1215</v>
      </c>
    </row>
    <row r="73" spans="2:3" s="219" customFormat="1">
      <c r="B73" s="423" t="s">
        <v>1216</v>
      </c>
    </row>
    <row r="74" spans="2:3" s="219" customFormat="1">
      <c r="B74" s="423" t="s">
        <v>1217</v>
      </c>
    </row>
    <row r="75" spans="2:3" s="219" customFormat="1">
      <c r="B75" s="423" t="s">
        <v>1218</v>
      </c>
    </row>
    <row r="76" spans="2:3" s="219" customFormat="1">
      <c r="B76" s="423"/>
    </row>
    <row r="78" spans="2:3" s="219" customFormat="1" ht="13">
      <c r="B78" s="230" t="s">
        <v>144</v>
      </c>
    </row>
    <row r="79" spans="2:3" s="219" customFormat="1">
      <c r="B79" s="423" t="s">
        <v>734</v>
      </c>
    </row>
    <row r="80" spans="2:3" s="219" customFormat="1">
      <c r="B80" s="423" t="s">
        <v>735</v>
      </c>
    </row>
    <row r="81" spans="2:2" s="219" customFormat="1">
      <c r="B81" s="423" t="s">
        <v>736</v>
      </c>
    </row>
    <row r="82" spans="2:2" s="219" customFormat="1">
      <c r="B82" s="423" t="s">
        <v>739</v>
      </c>
    </row>
    <row r="83" spans="2:2" s="219" customFormat="1">
      <c r="B83" s="423" t="s">
        <v>740</v>
      </c>
    </row>
    <row r="84" spans="2:2" s="219" customFormat="1">
      <c r="B84" s="423" t="s">
        <v>741</v>
      </c>
    </row>
    <row r="85" spans="2:2" s="219" customFormat="1">
      <c r="B85" s="423" t="s">
        <v>742</v>
      </c>
    </row>
    <row r="86" spans="2:2" s="219" customFormat="1">
      <c r="B86" s="423" t="s">
        <v>743</v>
      </c>
    </row>
    <row r="87" spans="2:2" s="219" customFormat="1">
      <c r="B87" s="423" t="s">
        <v>744</v>
      </c>
    </row>
    <row r="88" spans="2:2" s="219" customFormat="1">
      <c r="B88" s="423" t="s">
        <v>745</v>
      </c>
    </row>
    <row r="89" spans="2:2" s="219" customFormat="1">
      <c r="B89" s="423" t="s">
        <v>746</v>
      </c>
    </row>
    <row r="90" spans="2:2" s="219" customFormat="1">
      <c r="B90" s="423" t="s">
        <v>747</v>
      </c>
    </row>
    <row r="91" spans="2:2" s="219" customFormat="1">
      <c r="B91" s="423" t="s">
        <v>748</v>
      </c>
    </row>
    <row r="92" spans="2:2" s="219" customFormat="1">
      <c r="B92" s="423" t="s">
        <v>749</v>
      </c>
    </row>
    <row r="93" spans="2:2" s="219" customFormat="1">
      <c r="B93" s="423" t="s">
        <v>750</v>
      </c>
    </row>
    <row r="94" spans="2:2" s="219" customFormat="1">
      <c r="B94" s="423" t="s">
        <v>751</v>
      </c>
    </row>
    <row r="95" spans="2:2" s="219" customFormat="1">
      <c r="B95" s="423" t="s">
        <v>752</v>
      </c>
    </row>
    <row r="96" spans="2:2" s="219" customFormat="1">
      <c r="B96" s="423" t="s">
        <v>753</v>
      </c>
    </row>
    <row r="97" spans="2:2" s="219" customFormat="1">
      <c r="B97" s="423" t="s">
        <v>754</v>
      </c>
    </row>
    <row r="98" spans="2:2" s="219" customFormat="1">
      <c r="B98" s="423" t="s">
        <v>1219</v>
      </c>
    </row>
    <row r="99" spans="2:2" s="219" customFormat="1">
      <c r="B99" s="423" t="s">
        <v>756</v>
      </c>
    </row>
    <row r="101" spans="2:2" s="219" customFormat="1" ht="13">
      <c r="B101" s="230" t="s">
        <v>1220</v>
      </c>
    </row>
    <row r="102" spans="2:2" s="219" customFormat="1">
      <c r="B102" s="423" t="s">
        <v>1221</v>
      </c>
    </row>
    <row r="103" spans="2:2" s="219" customFormat="1">
      <c r="B103" s="423" t="s">
        <v>1222</v>
      </c>
    </row>
    <row r="104" spans="2:2" s="219" customFormat="1">
      <c r="B104" s="423" t="s">
        <v>1223</v>
      </c>
    </row>
    <row r="105" spans="2:2" s="219" customFormat="1">
      <c r="B105" s="423" t="s">
        <v>1224</v>
      </c>
    </row>
    <row r="107" spans="2:2" s="219" customFormat="1" ht="13">
      <c r="B107" s="230" t="s">
        <v>1225</v>
      </c>
    </row>
    <row r="108" spans="2:2" s="219" customFormat="1">
      <c r="B108" s="423" t="s">
        <v>1226</v>
      </c>
    </row>
    <row r="109" spans="2:2" s="219" customFormat="1">
      <c r="B109" s="423" t="s">
        <v>1227</v>
      </c>
    </row>
    <row r="110" spans="2:2" s="219" customFormat="1">
      <c r="B110" s="423" t="s">
        <v>1228</v>
      </c>
    </row>
    <row r="111" spans="2:2" s="219" customFormat="1">
      <c r="B111" s="423" t="s">
        <v>1229</v>
      </c>
    </row>
    <row r="113" spans="2:2" s="219" customFormat="1" ht="13">
      <c r="B113" s="230" t="s">
        <v>1230</v>
      </c>
    </row>
    <row r="114" spans="2:2" s="219" customFormat="1">
      <c r="B114" s="427" t="s">
        <v>1231</v>
      </c>
    </row>
    <row r="115" spans="2:2" s="219" customFormat="1">
      <c r="B115" s="427" t="s">
        <v>1232</v>
      </c>
    </row>
    <row r="116" spans="2:2" s="219" customFormat="1">
      <c r="B116" s="427" t="s">
        <v>1233</v>
      </c>
    </row>
    <row r="118" spans="2:2" s="219" customFormat="1" ht="13">
      <c r="B118" s="230" t="s">
        <v>1234</v>
      </c>
    </row>
    <row r="119" spans="2:2" s="219" customFormat="1">
      <c r="B119" s="423" t="s">
        <v>1235</v>
      </c>
    </row>
    <row r="120" spans="2:2" s="219" customFormat="1">
      <c r="B120" s="423" t="s">
        <v>1236</v>
      </c>
    </row>
    <row r="121" spans="2:2" s="219" customFormat="1">
      <c r="B121" s="423" t="s">
        <v>1237</v>
      </c>
    </row>
    <row r="122" spans="2:2" s="219" customFormat="1">
      <c r="B122" s="423" t="s">
        <v>1238</v>
      </c>
    </row>
    <row r="123" spans="2:2" s="219" customFormat="1">
      <c r="B123" s="423" t="s">
        <v>1239</v>
      </c>
    </row>
    <row r="124" spans="2:2" s="219" customFormat="1">
      <c r="B124" s="423" t="s">
        <v>1240</v>
      </c>
    </row>
    <row r="126" spans="2:2" s="219" customFormat="1" ht="13">
      <c r="B126" s="230" t="s">
        <v>1241</v>
      </c>
    </row>
    <row r="127" spans="2:2" s="219" customFormat="1">
      <c r="B127" s="423" t="s">
        <v>1242</v>
      </c>
    </row>
    <row r="128" spans="2:2" s="219" customFormat="1">
      <c r="B128" s="423" t="s">
        <v>1243</v>
      </c>
    </row>
    <row r="130" spans="2:2" s="219" customFormat="1" ht="13">
      <c r="B130" s="230" t="s">
        <v>1244</v>
      </c>
    </row>
    <row r="131" spans="2:2" s="219" customFormat="1">
      <c r="B131" s="423" t="s">
        <v>1245</v>
      </c>
    </row>
    <row r="132" spans="2:2" s="219" customFormat="1">
      <c r="B132" s="423" t="s">
        <v>1246</v>
      </c>
    </row>
    <row r="134" spans="2:2" s="219" customFormat="1" ht="13">
      <c r="B134" s="230" t="s">
        <v>1247</v>
      </c>
    </row>
    <row r="135" spans="2:2" s="219" customFormat="1">
      <c r="B135" s="423" t="s">
        <v>1248</v>
      </c>
    </row>
    <row r="136" spans="2:2" s="219" customFormat="1">
      <c r="B136" s="423" t="s">
        <v>1249</v>
      </c>
    </row>
    <row r="138" spans="2:2" s="219" customFormat="1" ht="13">
      <c r="B138" s="230" t="s">
        <v>1250</v>
      </c>
    </row>
    <row r="139" spans="2:2" s="219" customFormat="1">
      <c r="B139" s="423" t="s">
        <v>1251</v>
      </c>
    </row>
    <row r="140" spans="2:2" s="219" customFormat="1">
      <c r="B140" s="423" t="s">
        <v>1252</v>
      </c>
    </row>
    <row r="141" spans="2:2" s="219" customFormat="1">
      <c r="B141" s="423" t="s">
        <v>1253</v>
      </c>
    </row>
    <row r="142" spans="2:2" s="219" customFormat="1">
      <c r="B142" s="423" t="s">
        <v>1254</v>
      </c>
    </row>
    <row r="143" spans="2:2" s="219" customFormat="1">
      <c r="B143" s="423" t="s">
        <v>1255</v>
      </c>
    </row>
    <row r="144" spans="2:2" s="219" customFormat="1">
      <c r="B144" s="423" t="s">
        <v>1256</v>
      </c>
    </row>
    <row r="145" spans="2:4" s="219" customFormat="1">
      <c r="B145" s="423" t="s">
        <v>1257</v>
      </c>
    </row>
    <row r="146" spans="2:4" s="416" customFormat="1">
      <c r="B146" s="423" t="s">
        <v>1258</v>
      </c>
      <c r="C146" s="429"/>
      <c r="D146" s="429"/>
    </row>
    <row r="147" spans="2:4" s="416" customFormat="1">
      <c r="B147" s="423" t="s">
        <v>1259</v>
      </c>
      <c r="C147" s="429"/>
      <c r="D147" s="429"/>
    </row>
    <row r="148" spans="2:4" s="416" customFormat="1">
      <c r="B148" s="423" t="s">
        <v>1260</v>
      </c>
      <c r="C148" s="429"/>
      <c r="D148" s="429"/>
    </row>
    <row r="149" spans="2:4" s="416" customFormat="1">
      <c r="B149" s="423" t="s">
        <v>1261</v>
      </c>
      <c r="C149" s="429"/>
      <c r="D149" s="429"/>
    </row>
    <row r="151" spans="2:4" s="219" customFormat="1" ht="13">
      <c r="B151" s="230" t="s">
        <v>1262</v>
      </c>
    </row>
    <row r="152" spans="2:4" s="219" customFormat="1">
      <c r="B152" s="423" t="s">
        <v>1263</v>
      </c>
    </row>
    <row r="153" spans="2:4" s="219" customFormat="1">
      <c r="B153" s="423" t="s">
        <v>1264</v>
      </c>
    </row>
    <row r="154" spans="2:4" s="219" customFormat="1">
      <c r="B154" s="423" t="s">
        <v>1265</v>
      </c>
    </row>
    <row r="156" spans="2:4" s="219" customFormat="1" ht="13">
      <c r="B156" s="230" t="s">
        <v>1266</v>
      </c>
    </row>
    <row r="157" spans="2:4" s="219" customFormat="1">
      <c r="B157" s="423" t="s">
        <v>1267</v>
      </c>
    </row>
    <row r="158" spans="2:4" s="219" customFormat="1">
      <c r="B158" s="423" t="s">
        <v>1268</v>
      </c>
    </row>
    <row r="159" spans="2:4" s="219" customFormat="1">
      <c r="B159" s="423" t="s">
        <v>1269</v>
      </c>
    </row>
    <row r="160" spans="2:4" s="219" customFormat="1">
      <c r="B160" s="423" t="s">
        <v>1270</v>
      </c>
    </row>
    <row r="162" spans="2:3" s="219" customFormat="1" ht="13">
      <c r="B162" s="230" t="s">
        <v>1271</v>
      </c>
    </row>
    <row r="163" spans="2:3" s="219" customFormat="1">
      <c r="B163" s="423" t="s">
        <v>1272</v>
      </c>
    </row>
    <row r="164" spans="2:3" s="219" customFormat="1">
      <c r="B164" s="423" t="s">
        <v>215</v>
      </c>
    </row>
    <row r="165" spans="2:3" s="219" customFormat="1">
      <c r="B165" s="423" t="s">
        <v>217</v>
      </c>
    </row>
    <row r="166" spans="2:3" s="219" customFormat="1">
      <c r="B166" s="423" t="s">
        <v>226</v>
      </c>
    </row>
    <row r="167" spans="2:3" s="219" customFormat="1">
      <c r="B167" s="423" t="s">
        <v>1273</v>
      </c>
    </row>
    <row r="168" spans="2:3" s="219" customFormat="1">
      <c r="B168" s="423" t="s">
        <v>1274</v>
      </c>
    </row>
    <row r="169" spans="2:3" s="219" customFormat="1">
      <c r="B169" s="423" t="s">
        <v>1275</v>
      </c>
    </row>
    <row r="171" spans="2:3" s="219" customFormat="1" ht="13">
      <c r="B171" s="230" t="s">
        <v>1276</v>
      </c>
      <c r="C171" s="230" t="s">
        <v>1277</v>
      </c>
    </row>
    <row r="172" spans="2:3" s="219" customFormat="1">
      <c r="B172" s="423" t="s">
        <v>1278</v>
      </c>
      <c r="C172" s="423" t="s">
        <v>636</v>
      </c>
    </row>
    <row r="173" spans="2:3" s="219" customFormat="1">
      <c r="B173" s="423" t="s">
        <v>1279</v>
      </c>
      <c r="C173" s="423" t="s">
        <v>636</v>
      </c>
    </row>
    <row r="174" spans="2:3" s="219" customFormat="1">
      <c r="B174" s="423" t="s">
        <v>1280</v>
      </c>
      <c r="C174" s="423" t="s">
        <v>636</v>
      </c>
    </row>
    <row r="175" spans="2:3" s="219" customFormat="1">
      <c r="B175" s="423" t="s">
        <v>1281</v>
      </c>
      <c r="C175" s="423" t="s">
        <v>636</v>
      </c>
    </row>
    <row r="176" spans="2:3" s="219" customFormat="1">
      <c r="B176" s="423" t="s">
        <v>1282</v>
      </c>
      <c r="C176" s="423" t="s">
        <v>636</v>
      </c>
    </row>
    <row r="178" spans="2:2" s="219" customFormat="1" ht="13">
      <c r="B178" s="230" t="s">
        <v>1283</v>
      </c>
    </row>
    <row r="179" spans="2:2" s="219" customFormat="1">
      <c r="B179" s="423" t="s">
        <v>1284</v>
      </c>
    </row>
    <row r="180" spans="2:2" s="219" customFormat="1">
      <c r="B180" s="423" t="s">
        <v>1285</v>
      </c>
    </row>
    <row r="181" spans="2:2" s="219" customFormat="1">
      <c r="B181" s="423" t="s">
        <v>1286</v>
      </c>
    </row>
    <row r="183" spans="2:2" s="219" customFormat="1" ht="13">
      <c r="B183" s="230" t="s">
        <v>710</v>
      </c>
    </row>
    <row r="184" spans="2:2" s="219" customFormat="1">
      <c r="B184" s="423" t="s">
        <v>1287</v>
      </c>
    </row>
    <row r="185" spans="2:2" s="219" customFormat="1">
      <c r="B185" s="423" t="s">
        <v>457</v>
      </c>
    </row>
  </sheetData>
  <sheetProtection algorithmName="SHA-512" hashValue="xXHOVi+2CpuL+y5MGBMcUwO+Qdv8EPb7qZABVJz1nyK+6ZX+a6didc6cj7yezSsYV760GWoY+3DuvLTFKMOvAQ==" saltValue="wxlGdNzDN+SswFrgJL0/DQ==" spinCount="100000" sheet="1" objects="1" scenarios="1" autoFilter="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12C7-E201-4C9D-B69A-55796E7D2B37}">
  <sheetPr codeName="Sheet3">
    <tabColor rgb="FFD9E1F2"/>
  </sheetPr>
  <dimension ref="B7:E211"/>
  <sheetViews>
    <sheetView zoomScaleNormal="100" workbookViewId="0">
      <pane ySplit="11" topLeftCell="A12" activePane="bottomLeft" state="frozen"/>
      <selection pane="bottomLeft"/>
    </sheetView>
  </sheetViews>
  <sheetFormatPr defaultColWidth="8.7265625" defaultRowHeight="12.5"/>
  <cols>
    <col min="1" max="1" width="4.81640625" style="232" customWidth="1"/>
    <col min="2" max="2" width="8.7265625" style="232"/>
    <col min="3" max="3" width="11.26953125" style="232" customWidth="1"/>
    <col min="4" max="16" width="8.7265625" style="232"/>
    <col min="17" max="17" width="8.7265625" style="232" customWidth="1"/>
    <col min="18" max="16384" width="8.7265625" style="232"/>
  </cols>
  <sheetData>
    <row r="7" spans="2:3" s="232" customFormat="1" ht="18" customHeight="1">
      <c r="B7" s="231" t="str">
        <f>Project_Name</f>
        <v xml:space="preserve">South Australia Hydrogen and Renewable Energy Restoration Cost Estimation Tool </v>
      </c>
    </row>
    <row r="8" spans="2:3" s="232" customFormat="1">
      <c r="B8" s="11" t="s">
        <v>47</v>
      </c>
      <c r="C8" s="233"/>
    </row>
    <row r="9" spans="2:3" s="232" customFormat="1" ht="13">
      <c r="B9" s="234"/>
    </row>
    <row r="10" spans="2:3" s="232" customFormat="1" ht="16.5" customHeight="1">
      <c r="B10" s="221" t="s">
        <v>48</v>
      </c>
      <c r="C10" s="221"/>
    </row>
    <row r="12" spans="2:3" s="232" customFormat="1" ht="15.65" customHeight="1">
      <c r="B12" s="235" t="s">
        <v>49</v>
      </c>
      <c r="C12" s="236"/>
    </row>
    <row r="36" spans="2:5" s="232" customFormat="1" ht="15.65" customHeight="1">
      <c r="B36" s="235" t="s">
        <v>50</v>
      </c>
      <c r="C36" s="236"/>
      <c r="D36" s="236"/>
      <c r="E36" s="236"/>
    </row>
    <row r="37" spans="2:5" s="232" customFormat="1" ht="13">
      <c r="B37" s="234"/>
    </row>
    <row r="38" spans="2:5" s="232" customFormat="1">
      <c r="B38" s="232" t="s">
        <v>51</v>
      </c>
    </row>
    <row r="39" spans="2:5" s="232" customFormat="1" ht="13">
      <c r="B39" s="237" t="s">
        <v>1358</v>
      </c>
      <c r="C39" s="238"/>
      <c r="D39" s="239" t="s">
        <v>52</v>
      </c>
      <c r="E39" s="238" t="s">
        <v>53</v>
      </c>
    </row>
    <row r="40" spans="2:5" s="232" customFormat="1">
      <c r="B40" s="12" t="s">
        <v>54</v>
      </c>
      <c r="D40" s="232">
        <v>1</v>
      </c>
      <c r="E40" s="232" t="s">
        <v>55</v>
      </c>
    </row>
    <row r="41" spans="2:5" s="232" customFormat="1">
      <c r="B41" s="12" t="s">
        <v>54</v>
      </c>
      <c r="D41" s="232">
        <f>D40+1</f>
        <v>2</v>
      </c>
      <c r="E41" s="232" t="s">
        <v>56</v>
      </c>
    </row>
    <row r="42" spans="2:5" s="232" customFormat="1">
      <c r="B42" s="12" t="s">
        <v>54</v>
      </c>
      <c r="D42" s="232">
        <f t="shared" ref="D42:D43" si="0">D41+1</f>
        <v>3</v>
      </c>
      <c r="E42" s="232" t="s">
        <v>57</v>
      </c>
    </row>
    <row r="43" spans="2:5" s="232" customFormat="1">
      <c r="B43" s="13" t="s">
        <v>15</v>
      </c>
      <c r="D43" s="232">
        <f t="shared" si="0"/>
        <v>4</v>
      </c>
      <c r="E43" s="232" t="s">
        <v>58</v>
      </c>
    </row>
    <row r="44" spans="2:5" s="232" customFormat="1">
      <c r="B44" s="13" t="s">
        <v>17</v>
      </c>
      <c r="E44" s="232" t="s">
        <v>59</v>
      </c>
    </row>
    <row r="45" spans="2:5" s="232" customFormat="1" ht="15.75" customHeight="1">
      <c r="B45" s="14" t="s">
        <v>19</v>
      </c>
    </row>
    <row r="46" spans="2:5" s="232" customFormat="1" ht="14.25" customHeight="1">
      <c r="B46" s="14"/>
    </row>
    <row r="47" spans="2:5" s="232" customFormat="1" ht="17.25" customHeight="1">
      <c r="B47" s="14"/>
    </row>
    <row r="48" spans="2:5" s="232" customFormat="1" ht="82.5" customHeight="1">
      <c r="B48" s="14"/>
    </row>
    <row r="49" spans="2:5" s="232" customFormat="1">
      <c r="E49" s="232" t="s">
        <v>60</v>
      </c>
    </row>
    <row r="50" spans="2:5" s="232" customFormat="1">
      <c r="D50" s="232">
        <f>D43+1</f>
        <v>5</v>
      </c>
      <c r="E50" s="232" t="s">
        <v>61</v>
      </c>
    </row>
    <row r="51" spans="2:5" s="232" customFormat="1" ht="137.25" customHeight="1"/>
    <row r="52" spans="2:5" s="232" customFormat="1">
      <c r="D52" s="232">
        <f>D50+1</f>
        <v>6</v>
      </c>
      <c r="E52" s="232" t="s">
        <v>62</v>
      </c>
    </row>
    <row r="53" spans="2:5" s="232" customFormat="1" ht="139.5" customHeight="1"/>
    <row r="54" spans="2:5" s="232" customFormat="1">
      <c r="D54" s="232">
        <f>D52+1</f>
        <v>7</v>
      </c>
      <c r="E54" s="232" t="s">
        <v>63</v>
      </c>
    </row>
    <row r="55" spans="2:5" s="232" customFormat="1">
      <c r="D55" s="232">
        <f t="shared" ref="D55:D62" si="1">D54+1</f>
        <v>8</v>
      </c>
      <c r="E55" s="232" t="s">
        <v>64</v>
      </c>
    </row>
    <row r="56" spans="2:5" s="232" customFormat="1">
      <c r="E56" s="232" t="s">
        <v>65</v>
      </c>
    </row>
    <row r="57" spans="2:5" s="232" customFormat="1" ht="84.65" customHeight="1"/>
    <row r="58" spans="2:5" s="232" customFormat="1">
      <c r="D58" s="232">
        <f>D55+1</f>
        <v>9</v>
      </c>
      <c r="E58" s="232" t="s">
        <v>66</v>
      </c>
    </row>
    <row r="59" spans="2:5" s="232" customFormat="1">
      <c r="E59" s="232" t="s">
        <v>67</v>
      </c>
    </row>
    <row r="60" spans="2:5" s="232" customFormat="1">
      <c r="B60" s="13" t="s">
        <v>13</v>
      </c>
      <c r="D60" s="232">
        <f>D58+1</f>
        <v>10</v>
      </c>
      <c r="E60" s="232" t="s">
        <v>68</v>
      </c>
    </row>
    <row r="61" spans="2:5" s="232" customFormat="1">
      <c r="B61" s="12" t="s">
        <v>54</v>
      </c>
      <c r="D61" s="232">
        <f>D60+1</f>
        <v>11</v>
      </c>
      <c r="E61" s="232" t="s">
        <v>69</v>
      </c>
    </row>
    <row r="62" spans="2:5" s="232" customFormat="1">
      <c r="D62" s="232">
        <f t="shared" si="1"/>
        <v>12</v>
      </c>
      <c r="E62" s="232" t="s">
        <v>70</v>
      </c>
    </row>
    <row r="63" spans="2:5" s="232" customFormat="1">
      <c r="E63" s="232" t="s">
        <v>71</v>
      </c>
    </row>
    <row r="65" spans="5:5" s="232" customFormat="1">
      <c r="E65" s="240" t="s">
        <v>72</v>
      </c>
    </row>
    <row r="66" spans="5:5" s="232" customFormat="1">
      <c r="E66" s="232" t="s">
        <v>73</v>
      </c>
    </row>
    <row r="84" spans="2:4" s="232" customFormat="1" ht="15.65" customHeight="1">
      <c r="B84" s="241" t="s">
        <v>74</v>
      </c>
      <c r="C84" s="242"/>
      <c r="D84" s="242"/>
    </row>
    <row r="126" spans="2:3" s="232" customFormat="1" ht="15.65" customHeight="1">
      <c r="B126" s="235" t="s">
        <v>75</v>
      </c>
      <c r="C126" s="242"/>
    </row>
    <row r="184" spans="2:3" s="232" customFormat="1" ht="15.65" customHeight="1">
      <c r="B184" s="235" t="s">
        <v>76</v>
      </c>
      <c r="C184" s="242"/>
    </row>
    <row r="209" spans="2:4" s="232" customFormat="1" ht="15.65" customHeight="1">
      <c r="B209" s="235" t="s">
        <v>77</v>
      </c>
      <c r="C209" s="236"/>
      <c r="D209" s="242"/>
    </row>
    <row r="210" spans="2:4" s="232" customFormat="1" ht="15" customHeight="1">
      <c r="B210" s="232">
        <v>1</v>
      </c>
      <c r="C210" s="232" t="s">
        <v>1357</v>
      </c>
    </row>
    <row r="211" spans="2:4" s="232" customFormat="1" ht="15" customHeight="1">
      <c r="C211" s="232" t="s">
        <v>78</v>
      </c>
    </row>
  </sheetData>
  <sheetProtection algorithmName="SHA-512" hashValue="iBoY3ZprQU+Th1VoZzc+7MFsOFLpi6L3e72MKX6Qfc8CVa1ZlINB5hxiLRDmRh8/B0PaXHff3opZc0y0LnUp6Q==" saltValue="COzXbEXV8t2T/tLnv4ZM2A==" spinCount="100000" sheet="1" objects="1" scenarios="1" autoFilter="0"/>
  <hyperlinks>
    <hyperlink ref="B8" location="Information" display="Return to Information" xr:uid="{C892011E-4511-40E4-9487-0992E9F9E11E}"/>
    <hyperlink ref="B43" location="SOLAR" display="Solar" xr:uid="{5AAB9701-63E1-4120-A9FB-0AFEAEA21D28}"/>
    <hyperlink ref="B44" location="WIND" display="Wind" xr:uid="{C0832154-F6F9-4E31-9BB3-5E9346C9AF5F}"/>
    <hyperlink ref="B45" location="BESS" display="BESS" xr:uid="{49FC23AD-BE22-467C-94AE-88A5AAEC91E0}"/>
    <hyperlink ref="B60" location="SUMMARY" display="Summary" xr:uid="{A0EC1063-7084-490A-ABB5-2F37C1612691}"/>
    <hyperlink ref="B40" location="Information" display="Information" xr:uid="{A45F761A-EF12-4250-BF93-92B3E12B7564}"/>
    <hyperlink ref="B41" location="Information" display="Information" xr:uid="{3EF9955F-5F0B-4250-8291-F2F044F75360}"/>
    <hyperlink ref="B42" location="Information" display="Information" xr:uid="{AD9A1D63-9967-4023-A8F2-F31005D908C1}"/>
    <hyperlink ref="B61" location="Information" display="Information" xr:uid="{FDA8CD64-3DFA-446F-A4BA-DFFDE0CF6207}"/>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9F0C-BB96-414C-A159-822035643E8D}">
  <sheetPr codeName="Sheet4">
    <tabColor theme="5"/>
  </sheetPr>
  <dimension ref="B2:J235"/>
  <sheetViews>
    <sheetView showGridLines="0" zoomScaleNormal="100" workbookViewId="0">
      <pane ySplit="7" topLeftCell="A8" activePane="bottomLeft" state="frozen"/>
      <selection pane="bottomLeft"/>
    </sheetView>
  </sheetViews>
  <sheetFormatPr defaultColWidth="8.7265625" defaultRowHeight="12.5"/>
  <cols>
    <col min="1" max="1" width="4.81640625" style="244" customWidth="1"/>
    <col min="2" max="2" width="61.54296875" style="244" customWidth="1"/>
    <col min="3" max="3" width="11.1796875" style="244" bestFit="1" customWidth="1"/>
    <col min="4" max="4" width="13.81640625" style="244" bestFit="1" customWidth="1"/>
    <col min="5" max="5" width="17.453125" style="244" customWidth="1"/>
    <col min="6" max="6" width="14.7265625" style="244" customWidth="1"/>
    <col min="7" max="7" width="3.81640625" style="244" customWidth="1"/>
    <col min="8" max="16384" width="8.7265625" style="244"/>
  </cols>
  <sheetData>
    <row r="2" spans="2:6" s="244" customFormat="1" ht="13">
      <c r="B2" s="243" t="str">
        <f>Project_Name</f>
        <v xml:space="preserve">South Australia Hydrogen and Renewable Energy Restoration Cost Estimation Tool </v>
      </c>
    </row>
    <row r="3" spans="2:6" s="244" customFormat="1">
      <c r="B3" s="5" t="s">
        <v>47</v>
      </c>
    </row>
    <row r="4" spans="2:6" s="244" customFormat="1" ht="13">
      <c r="B4" s="243"/>
      <c r="F4" s="245"/>
    </row>
    <row r="5" spans="2:6" s="244" customFormat="1" ht="13">
      <c r="B5" s="221" t="s">
        <v>79</v>
      </c>
      <c r="C5" s="221"/>
      <c r="D5" s="221"/>
      <c r="E5" s="221"/>
      <c r="F5" s="221"/>
    </row>
    <row r="6" spans="2:6" s="244" customFormat="1" ht="3.75" customHeight="1">
      <c r="B6" s="3"/>
      <c r="C6" s="3"/>
      <c r="D6" s="3"/>
      <c r="E6" s="3"/>
      <c r="F6" s="3"/>
    </row>
    <row r="7" spans="2:6" s="244" customFormat="1" ht="6" customHeight="1">
      <c r="B7" s="222"/>
      <c r="C7" s="222"/>
      <c r="D7" s="222"/>
      <c r="E7" s="222"/>
      <c r="F7" s="222"/>
    </row>
    <row r="8" spans="2:6" s="244" customFormat="1" ht="21.75" customHeight="1">
      <c r="B8" s="246" t="str">
        <f>Solar!B8</f>
        <v>SOLAR</v>
      </c>
      <c r="C8" s="247" t="s">
        <v>80</v>
      </c>
      <c r="D8" s="247" t="s">
        <v>81</v>
      </c>
      <c r="E8" s="247" t="s">
        <v>82</v>
      </c>
      <c r="F8" s="247" t="s">
        <v>83</v>
      </c>
    </row>
    <row r="9" spans="2:6" s="244" customFormat="1">
      <c r="B9" s="15" t="str">
        <f>Solar!B16</f>
        <v>Disconnect grid and diesel generators</v>
      </c>
      <c r="C9" s="16">
        <f>Solar!C21</f>
        <v>0</v>
      </c>
      <c r="D9" s="17">
        <f>Solar!I21</f>
        <v>0</v>
      </c>
      <c r="E9" s="248" t="str">
        <f>Solar!D21</f>
        <v xml:space="preserve">sites </v>
      </c>
      <c r="F9" s="18">
        <f>Solar!K21</f>
        <v>0</v>
      </c>
    </row>
    <row r="10" spans="2:6" s="244" customFormat="1">
      <c r="B10" s="15" t="str">
        <f>Solar!B23</f>
        <v>Electrical cables</v>
      </c>
      <c r="C10" s="16">
        <f>Solar!C39</f>
        <v>0</v>
      </c>
      <c r="D10" s="17">
        <f>Solar!I39</f>
        <v>0</v>
      </c>
      <c r="E10" s="248" t="str">
        <f>Solar!D39</f>
        <v>km</v>
      </c>
      <c r="F10" s="18">
        <f>Solar!K39</f>
        <v>0</v>
      </c>
    </row>
    <row r="11" spans="2:6" s="244" customFormat="1">
      <c r="B11" s="15" t="str">
        <f>Solar!B41</f>
        <v>Powerlines</v>
      </c>
      <c r="C11" s="16">
        <f>Solar!C45</f>
        <v>0</v>
      </c>
      <c r="D11" s="17">
        <f>Solar!I45</f>
        <v>0</v>
      </c>
      <c r="E11" s="248" t="str">
        <f>Solar!D43</f>
        <v>km</v>
      </c>
      <c r="F11" s="18">
        <f>Solar!K45</f>
        <v>0</v>
      </c>
    </row>
    <row r="12" spans="2:6" s="244" customFormat="1">
      <c r="B12" s="15" t="str">
        <f>Solar!B47</f>
        <v>Meteorological masts and communications towers</v>
      </c>
      <c r="C12" s="16">
        <f>Solar!C52</f>
        <v>0</v>
      </c>
      <c r="D12" s="17">
        <f>Solar!I52</f>
        <v>0</v>
      </c>
      <c r="E12" s="248" t="str">
        <f>Solar!D52</f>
        <v>structures</v>
      </c>
      <c r="F12" s="18">
        <f>Solar!K52</f>
        <v>0</v>
      </c>
    </row>
    <row r="13" spans="2:6" s="244" customFormat="1">
      <c r="B13" s="15" t="str">
        <f>Solar!B54</f>
        <v>Substations</v>
      </c>
      <c r="C13" s="16">
        <f>Solar!C58</f>
        <v>0</v>
      </c>
      <c r="D13" s="17">
        <f>Solar!I58</f>
        <v>0</v>
      </c>
      <c r="E13" s="248" t="str">
        <f>Solar!D58</f>
        <v>substations</v>
      </c>
      <c r="F13" s="18">
        <f>Solar!K58</f>
        <v>0</v>
      </c>
    </row>
    <row r="14" spans="2:6" s="244" customFormat="1">
      <c r="B14" s="15" t="str">
        <f>Solar!B60</f>
        <v>Inverters and power conditioners</v>
      </c>
      <c r="C14" s="16">
        <f>Solar!C65</f>
        <v>0</v>
      </c>
      <c r="D14" s="17">
        <f>Solar!I65</f>
        <v>0</v>
      </c>
      <c r="E14" s="248" t="str">
        <f>Solar!D65</f>
        <v>units</v>
      </c>
      <c r="F14" s="18">
        <f>Solar!K65</f>
        <v>0</v>
      </c>
    </row>
    <row r="15" spans="2:6" s="244" customFormat="1">
      <c r="B15" s="15" t="str">
        <f>Solar!B67</f>
        <v>Solar panels - removal and transport</v>
      </c>
      <c r="C15" s="16">
        <f>Solar!C75</f>
        <v>0</v>
      </c>
      <c r="D15" s="17">
        <f>Solar!I75</f>
        <v>0</v>
      </c>
      <c r="E15" s="248" t="str">
        <f>Solar!D75</f>
        <v>panels</v>
      </c>
      <c r="F15" s="18">
        <f>Solar!K75</f>
        <v>0</v>
      </c>
    </row>
    <row r="16" spans="2:6" s="244" customFormat="1">
      <c r="B16" s="15" t="str">
        <f>Solar!B191</f>
        <v>Solar panel disposal</v>
      </c>
      <c r="C16" s="16">
        <f>Solar!C199</f>
        <v>0</v>
      </c>
      <c r="D16" s="17">
        <f>Solar!I199</f>
        <v>0</v>
      </c>
      <c r="E16" s="248" t="str">
        <f>Solar!D199</f>
        <v>panels</v>
      </c>
      <c r="F16" s="18">
        <f>Solar!K199</f>
        <v>0</v>
      </c>
    </row>
    <row r="17" spans="2:6" s="244" customFormat="1">
      <c r="B17" s="15" t="str">
        <f>Solar!B201</f>
        <v>Solar panel recycling (cost - not scrap)</v>
      </c>
      <c r="C17" s="16">
        <f>Solar!C209</f>
        <v>0</v>
      </c>
      <c r="D17" s="17">
        <f>Solar!I209</f>
        <v>0</v>
      </c>
      <c r="E17" s="248" t="str">
        <f>Solar!D209</f>
        <v>panels</v>
      </c>
      <c r="F17" s="18">
        <f>Solar!K209</f>
        <v>0</v>
      </c>
    </row>
    <row r="18" spans="2:6" s="244" customFormat="1">
      <c r="B18" s="15" t="str">
        <f>Solar!B77</f>
        <v>Tracks and roads</v>
      </c>
      <c r="C18" s="16">
        <f>Solar!C98</f>
        <v>0</v>
      </c>
      <c r="D18" s="17">
        <f>Solar!I98</f>
        <v>0</v>
      </c>
      <c r="E18" s="248" t="str">
        <f>Solar!D98</f>
        <v>ha</v>
      </c>
      <c r="F18" s="18">
        <f>Solar!K98</f>
        <v>0</v>
      </c>
    </row>
    <row r="19" spans="2:6" s="244" customFormat="1">
      <c r="B19" s="15" t="str">
        <f>Solar!B100</f>
        <v>Laydown</v>
      </c>
      <c r="C19" s="16">
        <f>Solar!C112</f>
        <v>0</v>
      </c>
      <c r="D19" s="17">
        <f>Solar!I112</f>
        <v>0</v>
      </c>
      <c r="E19" s="248" t="str">
        <f>Solar!D112</f>
        <v>ha</v>
      </c>
      <c r="F19" s="18">
        <f>Solar!K112</f>
        <v>0</v>
      </c>
    </row>
    <row r="20" spans="2:6" s="244" customFormat="1">
      <c r="B20" s="15" t="str">
        <f>Solar!B114</f>
        <v>Airstrips</v>
      </c>
      <c r="C20" s="16">
        <f>Solar!C119</f>
        <v>0</v>
      </c>
      <c r="D20" s="17">
        <f>Solar!I119</f>
        <v>0</v>
      </c>
      <c r="E20" s="248" t="str">
        <f>Solar!D119</f>
        <v>ha</v>
      </c>
      <c r="F20" s="18">
        <f>Solar!K119</f>
        <v>0</v>
      </c>
    </row>
    <row r="21" spans="2:6" s="244" customFormat="1">
      <c r="B21" s="15" t="str">
        <f>Solar!B121</f>
        <v>Buildings by area</v>
      </c>
      <c r="C21" s="16">
        <f>Solar!C129</f>
        <v>0</v>
      </c>
      <c r="D21" s="17">
        <f>Solar!I129</f>
        <v>0</v>
      </c>
      <c r="E21" s="248" t="str">
        <f>Solar!D129</f>
        <v>m2</v>
      </c>
      <c r="F21" s="18">
        <f>Solar!K129</f>
        <v>0</v>
      </c>
    </row>
    <row r="22" spans="2:6" s="244" customFormat="1">
      <c r="B22" s="15" t="str">
        <f>Solar!B131</f>
        <v>Buildings by number</v>
      </c>
      <c r="C22" s="16">
        <f>Solar!C139</f>
        <v>0</v>
      </c>
      <c r="D22" s="17">
        <f>Solar!I139</f>
        <v>0</v>
      </c>
      <c r="E22" s="248" t="str">
        <f>Solar!D139</f>
        <v>buildings</v>
      </c>
      <c r="F22" s="18">
        <f>Solar!K139</f>
        <v>0</v>
      </c>
    </row>
    <row r="23" spans="2:6" s="244" customFormat="1">
      <c r="B23" s="15" t="str">
        <f>Solar!B141</f>
        <v>Land rehabilitation - growth media</v>
      </c>
      <c r="C23" s="16">
        <f>Solar!C159</f>
        <v>0</v>
      </c>
      <c r="D23" s="17">
        <f>Solar!I159</f>
        <v>0</v>
      </c>
      <c r="E23" s="248" t="str">
        <f>Solar!D159</f>
        <v>ha</v>
      </c>
      <c r="F23" s="18">
        <f>Solar!K159</f>
        <v>0</v>
      </c>
    </row>
    <row r="24" spans="2:6" s="244" customFormat="1">
      <c r="B24" s="15" t="str">
        <f>Solar!B161</f>
        <v>Land rehabilitation - ameliorants</v>
      </c>
      <c r="C24" s="16">
        <f>Solar!C176</f>
        <v>0</v>
      </c>
      <c r="D24" s="17">
        <f>Solar!I176</f>
        <v>0</v>
      </c>
      <c r="E24" s="248" t="str">
        <f>Solar!D176</f>
        <v>ha</v>
      </c>
      <c r="F24" s="18">
        <f>Solar!K176</f>
        <v>0</v>
      </c>
    </row>
    <row r="25" spans="2:6" s="244" customFormat="1">
      <c r="B25" s="15" t="str">
        <f>Solar!B178</f>
        <v>Land rehabilitation - revegetation</v>
      </c>
      <c r="C25" s="16">
        <f>Solar!C189</f>
        <v>0</v>
      </c>
      <c r="D25" s="17">
        <f>Solar!I189</f>
        <v>0</v>
      </c>
      <c r="E25" s="248" t="str">
        <f>Solar!D189</f>
        <v>ha</v>
      </c>
      <c r="F25" s="18">
        <f>Solar!K189</f>
        <v>0</v>
      </c>
    </row>
    <row r="26" spans="2:6" s="244" customFormat="1">
      <c r="B26" s="15" t="str">
        <f>Solar!B211</f>
        <v>Concrete crushing</v>
      </c>
      <c r="C26" s="16">
        <f>Solar!C227</f>
        <v>0</v>
      </c>
      <c r="D26" s="17">
        <f>Solar!I227</f>
        <v>0</v>
      </c>
      <c r="E26" s="248" t="str">
        <f>Solar!D225</f>
        <v>m3</v>
      </c>
      <c r="F26" s="18">
        <f>Solar!K227</f>
        <v>0</v>
      </c>
    </row>
    <row r="27" spans="2:6" s="244" customFormat="1">
      <c r="B27" s="15" t="str">
        <f>Solar!B230</f>
        <v>Disposal of construction debris including concrete not part of items above</v>
      </c>
      <c r="C27" s="16">
        <f>Solar!C238</f>
        <v>0</v>
      </c>
      <c r="D27" s="17">
        <f>Solar!I238</f>
        <v>0</v>
      </c>
      <c r="E27" s="248" t="str">
        <f>Solar!D238</f>
        <v>t</v>
      </c>
      <c r="F27" s="18">
        <f>Solar!K238</f>
        <v>0</v>
      </c>
    </row>
    <row r="28" spans="2:6" s="244" customFormat="1">
      <c r="B28" s="15" t="str">
        <f>Solar!B240</f>
        <v>Disposal of steel not part of items above</v>
      </c>
      <c r="C28" s="16">
        <f>Solar!C248</f>
        <v>0</v>
      </c>
      <c r="D28" s="17">
        <f>Solar!I248</f>
        <v>0</v>
      </c>
      <c r="E28" s="248" t="str">
        <f>Solar!D248</f>
        <v>t</v>
      </c>
      <c r="F28" s="18">
        <f>Solar!K248</f>
        <v>0</v>
      </c>
    </row>
    <row r="29" spans="2:6" s="244" customFormat="1">
      <c r="B29" s="15" t="str">
        <f>Solar!B250</f>
        <v>Disposal of soil (by mass)</v>
      </c>
      <c r="C29" s="16">
        <f>Solar!C258</f>
        <v>0</v>
      </c>
      <c r="D29" s="17">
        <f>Solar!I258</f>
        <v>0</v>
      </c>
      <c r="E29" s="248" t="str">
        <f>Solar!D258</f>
        <v>t</v>
      </c>
      <c r="F29" s="18">
        <f>Solar!K258</f>
        <v>0</v>
      </c>
    </row>
    <row r="30" spans="2:6" s="244" customFormat="1">
      <c r="B30" s="15" t="str">
        <f>Solar!B260</f>
        <v>Mobilisation</v>
      </c>
      <c r="C30" s="16">
        <f>Solar!C266</f>
        <v>0</v>
      </c>
      <c r="D30" s="17">
        <f>Solar!I266</f>
        <v>0</v>
      </c>
      <c r="E30" s="248" t="str">
        <f>Solar!D266</f>
        <v>fleets</v>
      </c>
      <c r="F30" s="18">
        <f>Solar!K266</f>
        <v>0</v>
      </c>
    </row>
    <row r="31" spans="2:6" s="244" customFormat="1">
      <c r="B31" s="15" t="str">
        <f>Solar!B268</f>
        <v>Reporting and documentation</v>
      </c>
      <c r="C31" s="16">
        <f>Solar!C276</f>
        <v>0</v>
      </c>
      <c r="D31" s="17">
        <f>Solar!I276</f>
        <v>0</v>
      </c>
      <c r="E31" s="248" t="str">
        <f>Solar!D276</f>
        <v>items</v>
      </c>
      <c r="F31" s="18">
        <f>Solar!K276</f>
        <v>0</v>
      </c>
    </row>
    <row r="32" spans="2:6" s="244" customFormat="1">
      <c r="B32" s="15" t="str">
        <f>Solar!B278</f>
        <v>User entered additional items</v>
      </c>
      <c r="C32" s="16">
        <f>Solar!C287</f>
        <v>0</v>
      </c>
      <c r="D32" s="17">
        <f>Solar!I287</f>
        <v>0</v>
      </c>
      <c r="E32" s="248" t="str">
        <f>Solar!D287</f>
        <v>items</v>
      </c>
      <c r="F32" s="18">
        <f>Solar!K287</f>
        <v>0</v>
      </c>
    </row>
    <row r="33" spans="2:6" s="244" customFormat="1">
      <c r="B33" s="15" t="str">
        <f>Solar!B289</f>
        <v>Project costs</v>
      </c>
      <c r="C33" s="216"/>
      <c r="D33" s="217"/>
      <c r="E33" s="249"/>
      <c r="F33" s="18">
        <f>Solar!K295</f>
        <v>0</v>
      </c>
    </row>
    <row r="34" spans="2:6" s="244" customFormat="1" ht="13.5" customHeight="1">
      <c r="F34" s="250"/>
    </row>
    <row r="35" spans="2:6" s="244" customFormat="1" ht="13">
      <c r="B35" s="251" t="s">
        <v>84</v>
      </c>
      <c r="C35" s="252"/>
      <c r="D35" s="252"/>
      <c r="E35" s="253"/>
      <c r="F35" s="254"/>
    </row>
    <row r="36" spans="2:6" s="244" customFormat="1" ht="13.5" thickBot="1">
      <c r="B36" s="19" t="s">
        <v>85</v>
      </c>
      <c r="E36" s="255"/>
      <c r="F36" s="20">
        <f>SUM(F8:F34)</f>
        <v>0</v>
      </c>
    </row>
    <row r="37" spans="2:6" s="244" customFormat="1">
      <c r="B37" s="15" t="s">
        <v>86</v>
      </c>
      <c r="E37" s="255"/>
      <c r="F37" s="21">
        <f>SUM(F9:F22,F26:F33)</f>
        <v>0</v>
      </c>
    </row>
    <row r="38" spans="2:6" s="244" customFormat="1">
      <c r="B38" s="15" t="s">
        <v>87</v>
      </c>
      <c r="E38" s="255"/>
      <c r="F38" s="22">
        <f>SUM(F15:F17)</f>
        <v>0</v>
      </c>
    </row>
    <row r="39" spans="2:6" s="244" customFormat="1">
      <c r="B39" s="19" t="s">
        <v>88</v>
      </c>
      <c r="C39" s="16">
        <f>Solar!C$12</f>
        <v>0</v>
      </c>
      <c r="D39" s="244" t="s">
        <v>89</v>
      </c>
      <c r="E39" s="255" t="s">
        <v>90</v>
      </c>
      <c r="F39" s="22">
        <f>IF(C39=0,0,F$36/C39)</f>
        <v>0</v>
      </c>
    </row>
    <row r="40" spans="2:6" s="244" customFormat="1">
      <c r="B40" s="15" t="s">
        <v>91</v>
      </c>
      <c r="C40" s="16">
        <f>Solar!C$14</f>
        <v>0</v>
      </c>
      <c r="D40" s="244" t="s">
        <v>92</v>
      </c>
      <c r="E40" s="255" t="s">
        <v>93</v>
      </c>
      <c r="F40" s="22">
        <f t="shared" ref="F40:F41" si="0">IF(C40=0,0,F$36/C40)</f>
        <v>0</v>
      </c>
    </row>
    <row r="41" spans="2:6" s="244" customFormat="1">
      <c r="B41" s="15" t="s">
        <v>94</v>
      </c>
      <c r="C41" s="16">
        <f>Solar!C$11</f>
        <v>0</v>
      </c>
      <c r="D41" s="244" t="s">
        <v>95</v>
      </c>
      <c r="E41" s="255" t="s">
        <v>96</v>
      </c>
      <c r="F41" s="22">
        <f t="shared" si="0"/>
        <v>0</v>
      </c>
    </row>
    <row r="42" spans="2:6" s="244" customFormat="1">
      <c r="B42" s="15" t="s">
        <v>97</v>
      </c>
      <c r="C42" s="23"/>
      <c r="E42" s="255"/>
      <c r="F42" s="21">
        <f>IF(C40=0,0,IF(C40-0,0,F38/C40))</f>
        <v>0</v>
      </c>
    </row>
    <row r="43" spans="2:6" s="244" customFormat="1" ht="13">
      <c r="E43" s="256"/>
      <c r="F43" s="256"/>
    </row>
    <row r="44" spans="2:6" s="244" customFormat="1" ht="13">
      <c r="B44" s="251" t="s">
        <v>98</v>
      </c>
      <c r="C44" s="252"/>
      <c r="D44" s="252"/>
      <c r="E44" s="253"/>
      <c r="F44" s="254"/>
    </row>
    <row r="45" spans="2:6" s="244" customFormat="1" ht="13.5" thickBot="1">
      <c r="B45" s="15" t="s">
        <v>85</v>
      </c>
      <c r="F45" s="20">
        <f>SUM(F46:F48)</f>
        <v>0</v>
      </c>
    </row>
    <row r="46" spans="2:6" s="244" customFormat="1">
      <c r="B46" s="15" t="str">
        <f>Solar!B298</f>
        <v>Panels</v>
      </c>
      <c r="C46" s="16">
        <f>Solar!C$14</f>
        <v>0</v>
      </c>
      <c r="D46" s="24">
        <f>Solar!I307</f>
        <v>0</v>
      </c>
      <c r="E46" s="248" t="str">
        <f>Solar!J307</f>
        <v>panel           total</v>
      </c>
      <c r="F46" s="18">
        <f>Solar!K307</f>
        <v>0</v>
      </c>
    </row>
    <row r="47" spans="2:6" s="244" customFormat="1">
      <c r="B47" s="15" t="str">
        <f>Solar!B309</f>
        <v>Frames</v>
      </c>
      <c r="C47" s="16">
        <f>Solar!C$14</f>
        <v>0</v>
      </c>
      <c r="D47" s="24">
        <f>Solar!I312</f>
        <v>0</v>
      </c>
      <c r="E47" s="248" t="str">
        <f>Solar!J312</f>
        <v>panel           total</v>
      </c>
      <c r="F47" s="18">
        <f>Solar!K312</f>
        <v>0</v>
      </c>
    </row>
    <row r="48" spans="2:6" s="244" customFormat="1">
      <c r="B48" s="15" t="str">
        <f>Solar!B314</f>
        <v>Cables</v>
      </c>
      <c r="C48" s="16">
        <f>Solar!C$14</f>
        <v>0</v>
      </c>
      <c r="D48" s="24">
        <f>Solar!I329</f>
        <v>0</v>
      </c>
      <c r="E48" s="248" t="str">
        <f>Solar!J329</f>
        <v>panel           total</v>
      </c>
      <c r="F48" s="18">
        <f>Solar!K329</f>
        <v>0</v>
      </c>
    </row>
    <row r="50" spans="2:6" s="244" customFormat="1" ht="13">
      <c r="B50" s="251" t="s">
        <v>99</v>
      </c>
      <c r="C50" s="252"/>
      <c r="D50" s="252"/>
      <c r="E50" s="253"/>
      <c r="F50" s="254"/>
    </row>
    <row r="51" spans="2:6" s="244" customFormat="1" ht="13.5" thickBot="1">
      <c r="B51" s="15" t="s">
        <v>85</v>
      </c>
      <c r="E51" s="255"/>
      <c r="F51" s="20">
        <f>F36-F45</f>
        <v>0</v>
      </c>
    </row>
    <row r="52" spans="2:6" s="244" customFormat="1">
      <c r="B52" s="15" t="s">
        <v>88</v>
      </c>
      <c r="C52" s="16">
        <f>Solar!C$12</f>
        <v>0</v>
      </c>
      <c r="D52" s="244" t="s">
        <v>89</v>
      </c>
      <c r="E52" s="255" t="s">
        <v>90</v>
      </c>
      <c r="F52" s="18">
        <f>IF(C52=0,0,F$51/C52)</f>
        <v>0</v>
      </c>
    </row>
    <row r="53" spans="2:6" s="244" customFormat="1">
      <c r="B53" s="15" t="s">
        <v>100</v>
      </c>
      <c r="C53" s="16">
        <f>Solar!C$14</f>
        <v>0</v>
      </c>
      <c r="D53" s="244" t="s">
        <v>92</v>
      </c>
      <c r="E53" s="255" t="s">
        <v>93</v>
      </c>
      <c r="F53" s="18">
        <f>IF(C53=0,0,F$51/C53)</f>
        <v>0</v>
      </c>
    </row>
    <row r="54" spans="2:6" s="244" customFormat="1">
      <c r="B54" s="15" t="s">
        <v>94</v>
      </c>
      <c r="C54" s="16">
        <f>Solar!C$11</f>
        <v>0</v>
      </c>
      <c r="D54" s="244" t="s">
        <v>95</v>
      </c>
      <c r="E54" s="255" t="s">
        <v>96</v>
      </c>
      <c r="F54" s="18">
        <f>IF(C54=0,0,F$51/C54)</f>
        <v>0</v>
      </c>
    </row>
    <row r="55" spans="2:6" s="244" customFormat="1" ht="13" thickBot="1"/>
    <row r="56" spans="2:6" s="244" customFormat="1" ht="14" thickTop="1" thickBot="1">
      <c r="B56" s="257"/>
      <c r="E56" s="255" t="s">
        <v>101</v>
      </c>
      <c r="F56" s="25">
        <f>Solar!K2-F36</f>
        <v>0</v>
      </c>
    </row>
    <row r="57" spans="2:6" s="244" customFormat="1" ht="14" thickTop="1" thickBot="1">
      <c r="E57" s="255" t="s">
        <v>102</v>
      </c>
      <c r="F57" s="25">
        <f>Solar!K4-F45</f>
        <v>0</v>
      </c>
    </row>
    <row r="58" spans="2:6" s="244" customFormat="1" ht="14" thickTop="1" thickBot="1">
      <c r="E58" s="255" t="s">
        <v>103</v>
      </c>
      <c r="F58" s="25">
        <f>Solar!K6-F51</f>
        <v>0</v>
      </c>
    </row>
    <row r="59" spans="2:6" s="244" customFormat="1" ht="13" thickTop="1">
      <c r="B59" s="258"/>
      <c r="C59" s="258"/>
      <c r="D59" s="258"/>
      <c r="E59" s="258"/>
      <c r="F59" s="258"/>
    </row>
    <row r="61" spans="2:6" s="244" customFormat="1" ht="21" customHeight="1">
      <c r="B61" s="259" t="str">
        <f>Wind!B8</f>
        <v>WIND</v>
      </c>
      <c r="C61" s="260" t="str">
        <f>C8</f>
        <v>Quantity</v>
      </c>
      <c r="D61" s="260" t="str">
        <f>D8</f>
        <v>Rate</v>
      </c>
      <c r="E61" s="260" t="str">
        <f>E8</f>
        <v>Unit</v>
      </c>
      <c r="F61" s="247" t="str">
        <f>F8</f>
        <v>Totals</v>
      </c>
    </row>
    <row r="62" spans="2:6" s="244" customFormat="1">
      <c r="B62" s="19" t="str">
        <f>Wind!B16</f>
        <v>Disconnect grid and diesel generators</v>
      </c>
      <c r="C62" s="26">
        <f>Wind!C22</f>
        <v>0</v>
      </c>
      <c r="D62" s="27">
        <f>Wind!I22</f>
        <v>0</v>
      </c>
      <c r="E62" s="261" t="str">
        <f>Wind!D22</f>
        <v>items</v>
      </c>
      <c r="F62" s="28">
        <f>Wind!K22</f>
        <v>0</v>
      </c>
    </row>
    <row r="63" spans="2:6" s="244" customFormat="1">
      <c r="B63" s="15" t="str">
        <f>Wind!B24</f>
        <v>Electrical cables</v>
      </c>
      <c r="C63" s="16">
        <f>Wind!C36</f>
        <v>0</v>
      </c>
      <c r="D63" s="17">
        <f>Wind!I36</f>
        <v>0</v>
      </c>
      <c r="E63" s="248" t="str">
        <f>Wind!D36</f>
        <v>km</v>
      </c>
      <c r="F63" s="18">
        <f>Wind!K36</f>
        <v>0</v>
      </c>
    </row>
    <row r="64" spans="2:6" s="244" customFormat="1">
      <c r="B64" s="15" t="str">
        <f>Wind!B38</f>
        <v>Powerlines</v>
      </c>
      <c r="C64" s="16">
        <f>Wind!C42</f>
        <v>0</v>
      </c>
      <c r="D64" s="17">
        <f>Wind!I42</f>
        <v>0</v>
      </c>
      <c r="E64" s="248" t="str">
        <f>Wind!D42</f>
        <v>km</v>
      </c>
      <c r="F64" s="18">
        <f>Wind!K42</f>
        <v>0</v>
      </c>
    </row>
    <row r="65" spans="2:6" s="244" customFormat="1">
      <c r="B65" s="15" t="str">
        <f>Wind!B44</f>
        <v>Meteorological masts</v>
      </c>
      <c r="C65" s="16">
        <f>Wind!C48</f>
        <v>0</v>
      </c>
      <c r="D65" s="17">
        <f>Wind!I48</f>
        <v>0</v>
      </c>
      <c r="E65" s="248" t="str">
        <f>Wind!D48</f>
        <v>masts</v>
      </c>
      <c r="F65" s="18">
        <f>Wind!K48</f>
        <v>0</v>
      </c>
    </row>
    <row r="66" spans="2:6" s="244" customFormat="1">
      <c r="B66" s="15" t="str">
        <f>Wind!B50</f>
        <v>Substations</v>
      </c>
      <c r="C66" s="16">
        <f>Wind!C54</f>
        <v>0</v>
      </c>
      <c r="D66" s="17">
        <f>Wind!I54</f>
        <v>0</v>
      </c>
      <c r="E66" s="248" t="str">
        <f>Wind!D54</f>
        <v>substations</v>
      </c>
      <c r="F66" s="18">
        <f>Wind!K54</f>
        <v>0</v>
      </c>
    </row>
    <row r="67" spans="2:6" s="244" customFormat="1">
      <c r="B67" s="15" t="str">
        <f>Wind!B56</f>
        <v>Converters and power conditioners</v>
      </c>
      <c r="C67" s="16">
        <f>Wind!C61</f>
        <v>0</v>
      </c>
      <c r="D67" s="17">
        <f>Wind!I61</f>
        <v>0</v>
      </c>
      <c r="E67" s="248" t="str">
        <f>Wind!D61</f>
        <v>units</v>
      </c>
      <c r="F67" s="18">
        <f>Wind!K61</f>
        <v>0</v>
      </c>
    </row>
    <row r="68" spans="2:6" s="244" customFormat="1">
      <c r="B68" s="15" t="str">
        <f>Wind!B63</f>
        <v>Wind turbines - gearbox oil</v>
      </c>
      <c r="C68" s="16">
        <f>Wind!C72</f>
        <v>0</v>
      </c>
      <c r="D68" s="17">
        <f>Wind!I72</f>
        <v>0</v>
      </c>
      <c r="E68" s="248" t="str">
        <f>Wind!D72</f>
        <v>kL</v>
      </c>
      <c r="F68" s="18">
        <f>Wind!K72</f>
        <v>0</v>
      </c>
    </row>
    <row r="69" spans="2:6" s="244" customFormat="1">
      <c r="B69" s="15" t="str">
        <f>Wind!B75</f>
        <v>Wind turbines - rotor (blades and hub)</v>
      </c>
      <c r="C69" s="16">
        <f>Wind!C87</f>
        <v>0</v>
      </c>
      <c r="D69" s="17">
        <f>Wind!I87</f>
        <v>0</v>
      </c>
      <c r="E69" s="248" t="str">
        <f>Wind!D87</f>
        <v>rotors</v>
      </c>
      <c r="F69" s="18">
        <f>Wind!K87</f>
        <v>0</v>
      </c>
    </row>
    <row r="70" spans="2:6" s="244" customFormat="1">
      <c r="B70" s="15" t="str">
        <f>Wind!B89</f>
        <v>Wind turbines - nacelle</v>
      </c>
      <c r="C70" s="16">
        <f>Wind!C100</f>
        <v>0</v>
      </c>
      <c r="D70" s="17">
        <f>Wind!I100</f>
        <v>0</v>
      </c>
      <c r="E70" s="248" t="str">
        <f>Wind!D100</f>
        <v>nacelles</v>
      </c>
      <c r="F70" s="18">
        <f>Wind!K100</f>
        <v>0</v>
      </c>
    </row>
    <row r="71" spans="2:6" s="244" customFormat="1">
      <c r="B71" s="15" t="str">
        <f>Wind!B102</f>
        <v>Wind turbines - tower</v>
      </c>
      <c r="C71" s="16">
        <f>Wind!C112</f>
        <v>0</v>
      </c>
      <c r="D71" s="17">
        <f>Wind!I112</f>
        <v>0</v>
      </c>
      <c r="E71" s="248" t="str">
        <f>Wind!D112</f>
        <v>tonne</v>
      </c>
      <c r="F71" s="18">
        <f>Wind!K112</f>
        <v>0</v>
      </c>
    </row>
    <row r="72" spans="2:6" s="244" customFormat="1">
      <c r="B72" s="15" t="str">
        <f>Wind!B114</f>
        <v>Wind turbines - foundations</v>
      </c>
      <c r="C72" s="16">
        <f>Wind!C128</f>
        <v>0</v>
      </c>
      <c r="D72" s="17">
        <f>Wind!I128</f>
        <v>0</v>
      </c>
      <c r="E72" s="248" t="str">
        <f>Wind!D128</f>
        <v>t</v>
      </c>
      <c r="F72" s="18">
        <f>Wind!K128</f>
        <v>0</v>
      </c>
    </row>
    <row r="73" spans="2:6" s="244" customFormat="1">
      <c r="B73" s="15" t="str">
        <f>Wind!B130</f>
        <v>Tracks and roads</v>
      </c>
      <c r="C73" s="16">
        <f>Wind!C151</f>
        <v>0</v>
      </c>
      <c r="D73" s="17">
        <f>Wind!I151</f>
        <v>0</v>
      </c>
      <c r="E73" s="248" t="str">
        <f>Wind!D151</f>
        <v>ha</v>
      </c>
      <c r="F73" s="18">
        <f>Wind!K151</f>
        <v>0</v>
      </c>
    </row>
    <row r="74" spans="2:6" s="244" customFormat="1">
      <c r="B74" s="15" t="str">
        <f>Wind!B153</f>
        <v>Laydown</v>
      </c>
      <c r="C74" s="16">
        <f>Wind!C166</f>
        <v>0</v>
      </c>
      <c r="D74" s="17">
        <f>Wind!I166</f>
        <v>0</v>
      </c>
      <c r="E74" s="248" t="str">
        <f>Wind!D166</f>
        <v>ha</v>
      </c>
      <c r="F74" s="18">
        <f>Wind!K166</f>
        <v>0</v>
      </c>
    </row>
    <row r="75" spans="2:6" s="244" customFormat="1">
      <c r="B75" s="15" t="str">
        <f>Wind!B168</f>
        <v>Airstrips</v>
      </c>
      <c r="C75" s="16">
        <f>Wind!C173</f>
        <v>0</v>
      </c>
      <c r="D75" s="17">
        <f>Wind!I173</f>
        <v>0</v>
      </c>
      <c r="E75" s="248" t="str">
        <f>Wind!D173</f>
        <v>ha</v>
      </c>
      <c r="F75" s="18">
        <f>Wind!K173</f>
        <v>0</v>
      </c>
    </row>
    <row r="76" spans="2:6" s="244" customFormat="1">
      <c r="B76" s="15" t="str">
        <f>Wind!B175</f>
        <v>Buildings by area</v>
      </c>
      <c r="C76" s="16">
        <f>Wind!C183</f>
        <v>0</v>
      </c>
      <c r="D76" s="17">
        <f>Wind!I183</f>
        <v>0</v>
      </c>
      <c r="E76" s="248" t="str">
        <f>Wind!D183</f>
        <v>m2</v>
      </c>
      <c r="F76" s="18">
        <f>Wind!K183</f>
        <v>0</v>
      </c>
    </row>
    <row r="77" spans="2:6" s="244" customFormat="1">
      <c r="B77" s="15" t="str">
        <f>Wind!B185</f>
        <v>Buildings by number</v>
      </c>
      <c r="C77" s="16">
        <f>Wind!C193</f>
        <v>0</v>
      </c>
      <c r="D77" s="17">
        <f>Wind!I193</f>
        <v>0</v>
      </c>
      <c r="E77" s="248" t="str">
        <f>Wind!D193</f>
        <v>buildings</v>
      </c>
      <c r="F77" s="18">
        <f>Wind!K193</f>
        <v>0</v>
      </c>
    </row>
    <row r="78" spans="2:6" s="244" customFormat="1">
      <c r="B78" s="15" t="str">
        <f>Wind!B195</f>
        <v>Land rehabilitation - growth media</v>
      </c>
      <c r="C78" s="16">
        <f>Wind!C213</f>
        <v>0</v>
      </c>
      <c r="D78" s="17">
        <f>Wind!I213</f>
        <v>0</v>
      </c>
      <c r="E78" s="248" t="str">
        <f>Wind!D213</f>
        <v>ha</v>
      </c>
      <c r="F78" s="18">
        <f>Wind!K213</f>
        <v>0</v>
      </c>
    </row>
    <row r="79" spans="2:6" s="244" customFormat="1">
      <c r="B79" s="15" t="str">
        <f>Wind!B215</f>
        <v>Land rehabilitation - ameliorants</v>
      </c>
      <c r="C79" s="16">
        <f>Wind!C230</f>
        <v>0</v>
      </c>
      <c r="D79" s="17">
        <f>Wind!I230</f>
        <v>0</v>
      </c>
      <c r="E79" s="248" t="str">
        <f>Wind!D230</f>
        <v>ha</v>
      </c>
      <c r="F79" s="18">
        <f>Wind!K230</f>
        <v>0</v>
      </c>
    </row>
    <row r="80" spans="2:6" s="244" customFormat="1">
      <c r="B80" s="15" t="str">
        <f>Wind!B232</f>
        <v>Land rehabilitation - revegetation</v>
      </c>
      <c r="C80" s="16">
        <f>Wind!C243</f>
        <v>0</v>
      </c>
      <c r="D80" s="17">
        <f>Wind!I243</f>
        <v>0</v>
      </c>
      <c r="E80" s="248" t="str">
        <f>Wind!D243</f>
        <v>ha</v>
      </c>
      <c r="F80" s="18">
        <f>Wind!K243</f>
        <v>0</v>
      </c>
    </row>
    <row r="81" spans="2:6" s="244" customFormat="1">
      <c r="B81" s="15" t="str">
        <f>Wind!B245</f>
        <v>Concrete crushing</v>
      </c>
      <c r="C81" s="16">
        <f>Wind!C257</f>
        <v>0</v>
      </c>
      <c r="D81" s="17">
        <f>Wind!I257</f>
        <v>0</v>
      </c>
      <c r="E81" s="248" t="str">
        <f>Wind!D257</f>
        <v>m3</v>
      </c>
      <c r="F81" s="18">
        <f>Wind!K257</f>
        <v>0</v>
      </c>
    </row>
    <row r="82" spans="2:6" s="244" customFormat="1">
      <c r="B82" s="15" t="str">
        <f>Wind!B260</f>
        <v>Disposal of construction debris including concrete of items not included above (by mass)</v>
      </c>
      <c r="C82" s="16">
        <f>Wind!C268</f>
        <v>0</v>
      </c>
      <c r="D82" s="17">
        <f>Wind!I268</f>
        <v>0</v>
      </c>
      <c r="E82" s="248" t="str">
        <f>Wind!D268</f>
        <v>t</v>
      </c>
      <c r="F82" s="18">
        <f>Wind!K268</f>
        <v>0</v>
      </c>
    </row>
    <row r="83" spans="2:6" s="244" customFormat="1">
      <c r="B83" s="15" t="str">
        <f>Wind!B270</f>
        <v>Disposal of steel of items not included above (by mass)</v>
      </c>
      <c r="C83" s="16">
        <f>Wind!C278</f>
        <v>0</v>
      </c>
      <c r="D83" s="17">
        <f>Wind!I278</f>
        <v>0</v>
      </c>
      <c r="E83" s="248" t="str">
        <f>Wind!D278</f>
        <v>t</v>
      </c>
      <c r="F83" s="18">
        <f>Wind!K278</f>
        <v>0</v>
      </c>
    </row>
    <row r="84" spans="2:6" s="244" customFormat="1">
      <c r="B84" s="15" t="str">
        <f>Wind!B280</f>
        <v>Disposal of contaminated soil (by mass)</v>
      </c>
      <c r="C84" s="16">
        <f>Wind!C288</f>
        <v>0</v>
      </c>
      <c r="D84" s="17">
        <f>Wind!I288</f>
        <v>0</v>
      </c>
      <c r="E84" s="248" t="str">
        <f>Wind!D288</f>
        <v>t</v>
      </c>
      <c r="F84" s="18">
        <f>Wind!K288</f>
        <v>0</v>
      </c>
    </row>
    <row r="85" spans="2:6" s="244" customFormat="1">
      <c r="B85" s="15" t="str">
        <f>Wind!B290</f>
        <v>Mobilisation</v>
      </c>
      <c r="C85" s="16">
        <f>Wind!C296</f>
        <v>0</v>
      </c>
      <c r="D85" s="17">
        <f>Wind!I296</f>
        <v>0</v>
      </c>
      <c r="E85" s="248" t="str">
        <f>Wind!D296</f>
        <v>fleets</v>
      </c>
      <c r="F85" s="18">
        <f>Wind!K296</f>
        <v>0</v>
      </c>
    </row>
    <row r="86" spans="2:6" s="244" customFormat="1">
      <c r="B86" s="15" t="str">
        <f>Wind!B298</f>
        <v>Reporting and documentation</v>
      </c>
      <c r="C86" s="16">
        <f>Wind!C307</f>
        <v>0</v>
      </c>
      <c r="D86" s="17">
        <f>Wind!I307</f>
        <v>0</v>
      </c>
      <c r="E86" s="248" t="str">
        <f>Wind!D307</f>
        <v>items</v>
      </c>
      <c r="F86" s="18">
        <f>Wind!K307</f>
        <v>0</v>
      </c>
    </row>
    <row r="87" spans="2:6" s="244" customFormat="1">
      <c r="B87" s="15" t="str">
        <f>Wind!B310</f>
        <v>User entered additional items</v>
      </c>
      <c r="C87" s="16">
        <f>Wind!C319</f>
        <v>0</v>
      </c>
      <c r="D87" s="17">
        <f>Wind!I319</f>
        <v>0</v>
      </c>
      <c r="E87" s="248" t="s">
        <v>1311</v>
      </c>
      <c r="F87" s="18">
        <f>Wind!K319</f>
        <v>0</v>
      </c>
    </row>
    <row r="88" spans="2:6" s="244" customFormat="1">
      <c r="B88" s="15" t="str">
        <f>Wind!B321</f>
        <v>Project costs</v>
      </c>
      <c r="C88" s="216"/>
      <c r="D88" s="217"/>
      <c r="E88" s="249"/>
      <c r="F88" s="18">
        <f>Wind!K327</f>
        <v>0</v>
      </c>
    </row>
    <row r="89" spans="2:6" s="244" customFormat="1" ht="13">
      <c r="E89" s="256"/>
      <c r="F89" s="250"/>
    </row>
    <row r="90" spans="2:6" s="244" customFormat="1" ht="13">
      <c r="B90" s="251" t="s">
        <v>84</v>
      </c>
      <c r="C90" s="252"/>
      <c r="D90" s="252"/>
      <c r="E90" s="253"/>
      <c r="F90" s="254"/>
    </row>
    <row r="91" spans="2:6" s="244" customFormat="1" ht="13.5" thickBot="1">
      <c r="B91" s="15" t="s">
        <v>85</v>
      </c>
      <c r="E91" s="256"/>
      <c r="F91" s="20">
        <f>SUM(F61:F89)</f>
        <v>0</v>
      </c>
    </row>
    <row r="92" spans="2:6" s="244" customFormat="1" ht="13">
      <c r="B92" s="15" t="s">
        <v>86</v>
      </c>
      <c r="E92" s="256"/>
      <c r="F92" s="18">
        <f>SUM(F62:F77,F82:F88)</f>
        <v>0</v>
      </c>
    </row>
    <row r="93" spans="2:6" s="244" customFormat="1" ht="13">
      <c r="B93" s="15" t="s">
        <v>104</v>
      </c>
      <c r="E93" s="256"/>
      <c r="F93" s="21">
        <f>SUM(F68:F72)</f>
        <v>0</v>
      </c>
    </row>
    <row r="94" spans="2:6" s="244" customFormat="1">
      <c r="B94" s="15" t="s">
        <v>88</v>
      </c>
      <c r="C94" s="16">
        <f>Wind!C$12</f>
        <v>0</v>
      </c>
      <c r="D94" s="244" t="s">
        <v>89</v>
      </c>
      <c r="E94" s="255" t="s">
        <v>90</v>
      </c>
      <c r="F94" s="21">
        <f>IF(C94=0,0,F$91/C94)</f>
        <v>0</v>
      </c>
    </row>
    <row r="95" spans="2:6" s="244" customFormat="1">
      <c r="B95" s="15" t="s">
        <v>105</v>
      </c>
      <c r="C95" s="16">
        <f>Wind!C$14</f>
        <v>0</v>
      </c>
      <c r="D95" s="244" t="s">
        <v>106</v>
      </c>
      <c r="E95" s="255" t="s">
        <v>107</v>
      </c>
      <c r="F95" s="21">
        <f>IF(C95=0,0,F$91/C95)</f>
        <v>0</v>
      </c>
    </row>
    <row r="96" spans="2:6" s="244" customFormat="1">
      <c r="B96" s="15" t="s">
        <v>94</v>
      </c>
      <c r="C96" s="16">
        <f>Wind!C$11</f>
        <v>0</v>
      </c>
      <c r="D96" s="244" t="s">
        <v>95</v>
      </c>
      <c r="E96" s="255" t="s">
        <v>96</v>
      </c>
      <c r="F96" s="21">
        <f>IF(C96=0,0,F$91/C96)</f>
        <v>0</v>
      </c>
    </row>
    <row r="97" spans="2:6" s="244" customFormat="1">
      <c r="B97" s="15" t="s">
        <v>108</v>
      </c>
      <c r="E97" s="255"/>
      <c r="F97" s="21">
        <f>IF(C95=0,0,F93/C95)</f>
        <v>0</v>
      </c>
    </row>
    <row r="98" spans="2:6" s="244" customFormat="1" ht="13">
      <c r="E98" s="256"/>
      <c r="F98" s="256"/>
    </row>
    <row r="99" spans="2:6" s="244" customFormat="1" ht="13">
      <c r="B99" s="251" t="s">
        <v>98</v>
      </c>
      <c r="C99" s="252"/>
      <c r="D99" s="252"/>
      <c r="E99" s="252"/>
      <c r="F99" s="262"/>
    </row>
    <row r="100" spans="2:6" s="244" customFormat="1" ht="13.5" thickBot="1">
      <c r="B100" s="15" t="s">
        <v>85</v>
      </c>
      <c r="C100" s="29"/>
      <c r="F100" s="20">
        <f>SUM(F101:F102)</f>
        <v>0</v>
      </c>
    </row>
    <row r="101" spans="2:6" s="244" customFormat="1">
      <c r="B101" s="15" t="str">
        <f>Wind!B330</f>
        <v>Turbines</v>
      </c>
      <c r="C101" s="16">
        <f>Wind!C$14</f>
        <v>0</v>
      </c>
      <c r="D101" s="244" t="s">
        <v>106</v>
      </c>
      <c r="F101" s="21">
        <f>Wind!K341</f>
        <v>0</v>
      </c>
    </row>
    <row r="102" spans="2:6" s="244" customFormat="1">
      <c r="B102" s="15" t="str">
        <f>Wind!B343</f>
        <v>Cables</v>
      </c>
      <c r="F102" s="21">
        <f>Wind!K354</f>
        <v>0</v>
      </c>
    </row>
    <row r="103" spans="2:6" s="244" customFormat="1">
      <c r="B103" s="15" t="s">
        <v>109</v>
      </c>
      <c r="F103" s="21">
        <f>Wind!I341</f>
        <v>0</v>
      </c>
    </row>
    <row r="105" spans="2:6" s="244" customFormat="1" ht="13">
      <c r="B105" s="251" t="s">
        <v>99</v>
      </c>
      <c r="C105" s="252"/>
      <c r="D105" s="252"/>
      <c r="E105" s="253"/>
      <c r="F105" s="254"/>
    </row>
    <row r="106" spans="2:6" s="244" customFormat="1" ht="13.5" thickBot="1">
      <c r="B106" s="15" t="s">
        <v>85</v>
      </c>
      <c r="E106" s="256"/>
      <c r="F106" s="20">
        <f>F91-F100</f>
        <v>0</v>
      </c>
    </row>
    <row r="107" spans="2:6" s="244" customFormat="1" ht="13">
      <c r="B107" s="15" t="s">
        <v>88</v>
      </c>
      <c r="C107" s="16">
        <f>Solar!C$12</f>
        <v>0</v>
      </c>
      <c r="D107" s="244" t="s">
        <v>89</v>
      </c>
      <c r="E107" s="256" t="s">
        <v>90</v>
      </c>
      <c r="F107" s="18">
        <f>IF(C107=0,0,F$106/C107)</f>
        <v>0</v>
      </c>
    </row>
    <row r="108" spans="2:6" s="244" customFormat="1" ht="13">
      <c r="B108" s="15" t="s">
        <v>100</v>
      </c>
      <c r="C108" s="16">
        <f>Solar!C$69</f>
        <v>0</v>
      </c>
      <c r="D108" s="244" t="s">
        <v>106</v>
      </c>
      <c r="E108" s="256" t="s">
        <v>107</v>
      </c>
      <c r="F108" s="18">
        <f t="shared" ref="F108:F109" si="1">IF(C108=0,0,F$106/C108)</f>
        <v>0</v>
      </c>
    </row>
    <row r="109" spans="2:6" s="244" customFormat="1" ht="13">
      <c r="B109" s="15" t="s">
        <v>94</v>
      </c>
      <c r="C109" s="16">
        <f>Solar!C$11</f>
        <v>0</v>
      </c>
      <c r="D109" s="244" t="s">
        <v>95</v>
      </c>
      <c r="E109" s="256" t="s">
        <v>96</v>
      </c>
      <c r="F109" s="18">
        <f t="shared" si="1"/>
        <v>0</v>
      </c>
    </row>
    <row r="110" spans="2:6" s="244" customFormat="1" ht="13" thickBot="1">
      <c r="F110" s="263"/>
    </row>
    <row r="111" spans="2:6" s="244" customFormat="1" ht="14" thickTop="1" thickBot="1">
      <c r="B111" s="257"/>
      <c r="E111" s="255" t="s">
        <v>101</v>
      </c>
      <c r="F111" s="25">
        <f>Wind!K2-F91</f>
        <v>0</v>
      </c>
    </row>
    <row r="112" spans="2:6" s="244" customFormat="1" ht="14" thickTop="1" thickBot="1">
      <c r="E112" s="255" t="s">
        <v>102</v>
      </c>
      <c r="F112" s="25">
        <f>Wind!K4-F100</f>
        <v>0</v>
      </c>
    </row>
    <row r="113" spans="2:10" s="244" customFormat="1" ht="14" thickTop="1" thickBot="1">
      <c r="E113" s="255" t="s">
        <v>103</v>
      </c>
      <c r="F113" s="25">
        <f>Wind!K6-F106</f>
        <v>0</v>
      </c>
    </row>
    <row r="114" spans="2:10" s="244" customFormat="1" ht="13" thickTop="1"/>
    <row r="115" spans="2:10" s="244" customFormat="1" ht="20.149999999999999" customHeight="1">
      <c r="B115" s="246" t="str">
        <f>BESS</f>
        <v>BESS</v>
      </c>
      <c r="C115" s="247" t="str">
        <f>C8</f>
        <v>Quantity</v>
      </c>
      <c r="D115" s="247" t="str">
        <f>D8</f>
        <v>Rate</v>
      </c>
      <c r="E115" s="247" t="str">
        <f>E8</f>
        <v>Unit</v>
      </c>
      <c r="F115" s="247" t="str">
        <f>F8</f>
        <v>Totals</v>
      </c>
      <c r="H115" s="219"/>
      <c r="I115" s="219"/>
      <c r="J115" s="219"/>
    </row>
    <row r="116" spans="2:10" s="244" customFormat="1">
      <c r="B116" s="15" t="str">
        <f>BESS!B17</f>
        <v>Disconnect grid and diesel generators</v>
      </c>
      <c r="C116" s="16">
        <f>BESS!C22</f>
        <v>0</v>
      </c>
      <c r="D116" s="24">
        <f>BESS!I22</f>
        <v>0</v>
      </c>
      <c r="E116" s="248" t="str">
        <f>BESS!D22</f>
        <v xml:space="preserve">sites </v>
      </c>
      <c r="F116" s="18">
        <f>BESS!K22</f>
        <v>0</v>
      </c>
    </row>
    <row r="117" spans="2:10" s="244" customFormat="1">
      <c r="B117" s="15" t="str">
        <f>BESS!B24</f>
        <v>Electrical cables</v>
      </c>
      <c r="C117" s="16">
        <f>BESS!C40</f>
        <v>0</v>
      </c>
      <c r="D117" s="30">
        <f>BESS!I40</f>
        <v>0</v>
      </c>
      <c r="E117" s="248" t="str">
        <f>BESS!D40</f>
        <v>km</v>
      </c>
      <c r="F117" s="18">
        <f>BESS!K40</f>
        <v>0</v>
      </c>
    </row>
    <row r="118" spans="2:10" s="244" customFormat="1">
      <c r="B118" s="15" t="str">
        <f>BESS!B42</f>
        <v>Powerlines</v>
      </c>
      <c r="C118" s="16">
        <f>BESS!C46</f>
        <v>0</v>
      </c>
      <c r="D118" s="24">
        <f>BESS!I46</f>
        <v>0</v>
      </c>
      <c r="E118" s="248" t="str">
        <f>BESS!D46</f>
        <v>km</v>
      </c>
      <c r="F118" s="18">
        <f>BESS!K46</f>
        <v>0</v>
      </c>
    </row>
    <row r="119" spans="2:10" s="244" customFormat="1">
      <c r="B119" s="15" t="str">
        <f>BESS!B48</f>
        <v>Substations</v>
      </c>
      <c r="C119" s="16">
        <f>BESS!C52</f>
        <v>0</v>
      </c>
      <c r="D119" s="24">
        <f>BESS!I52</f>
        <v>0</v>
      </c>
      <c r="E119" s="248" t="str">
        <f>BESS!D52</f>
        <v>substations</v>
      </c>
      <c r="F119" s="18">
        <f>BESS!K52</f>
        <v>0</v>
      </c>
    </row>
    <row r="120" spans="2:10" s="244" customFormat="1">
      <c r="B120" s="15" t="str">
        <f>BESS!B54</f>
        <v>Inverters and transformers</v>
      </c>
      <c r="C120" s="16">
        <f>BESS!C63</f>
        <v>0</v>
      </c>
      <c r="D120" s="24">
        <f>BESS!I63</f>
        <v>0</v>
      </c>
      <c r="E120" s="248" t="str">
        <f>BESS!D63</f>
        <v>units</v>
      </c>
      <c r="F120" s="18">
        <f>BESS!K63</f>
        <v>0</v>
      </c>
    </row>
    <row r="121" spans="2:10" s="244" customFormat="1">
      <c r="B121" s="15" t="str">
        <f>BESS!B65</f>
        <v>BESS - removal and transport</v>
      </c>
      <c r="C121" s="16">
        <f>BESS!C73</f>
        <v>0</v>
      </c>
      <c r="D121" s="24">
        <f>BESS!I73</f>
        <v>0</v>
      </c>
      <c r="E121" s="248" t="str">
        <f>BESS!D73</f>
        <v>modules</v>
      </c>
      <c r="F121" s="18">
        <f>BESS!K73</f>
        <v>0</v>
      </c>
    </row>
    <row r="122" spans="2:10" s="244" customFormat="1">
      <c r="B122" s="15" t="str">
        <f>BESS!B75</f>
        <v>Concrete slab and foundations for BESS and inverters</v>
      </c>
      <c r="C122" s="16">
        <f>BESS!C87</f>
        <v>0</v>
      </c>
      <c r="D122" s="24">
        <f>BESS!I87</f>
        <v>0</v>
      </c>
      <c r="E122" s="248" t="str">
        <f>BESS!D87</f>
        <v>m2</v>
      </c>
      <c r="F122" s="18">
        <f>BESS!K87</f>
        <v>0</v>
      </c>
    </row>
    <row r="123" spans="2:10" s="244" customFormat="1">
      <c r="B123" s="15" t="str">
        <f>BESS!B89</f>
        <v>Tracks and roads</v>
      </c>
      <c r="C123" s="31">
        <f>BESS!C110</f>
        <v>0</v>
      </c>
      <c r="D123" s="24">
        <f>BESS!I110</f>
        <v>0</v>
      </c>
      <c r="E123" s="248" t="str">
        <f>BESS!D110</f>
        <v>ha</v>
      </c>
      <c r="F123" s="18">
        <f>BESS!K110</f>
        <v>0</v>
      </c>
    </row>
    <row r="124" spans="2:10" s="244" customFormat="1">
      <c r="B124" s="15" t="str">
        <f>BESS!B112</f>
        <v>Laydown</v>
      </c>
      <c r="C124" s="31">
        <f>BESS!C124</f>
        <v>0</v>
      </c>
      <c r="D124" s="24">
        <f>BESS!I124</f>
        <v>0</v>
      </c>
      <c r="E124" s="248" t="str">
        <f>BESS!D124</f>
        <v>ha</v>
      </c>
      <c r="F124" s="18">
        <f>BESS!K124</f>
        <v>0</v>
      </c>
    </row>
    <row r="125" spans="2:10" s="244" customFormat="1">
      <c r="B125" s="15" t="str">
        <f>BESS!B126</f>
        <v>Airstrips</v>
      </c>
      <c r="C125" s="16">
        <f>BESS!C131</f>
        <v>0</v>
      </c>
      <c r="D125" s="24">
        <f>BESS!I131</f>
        <v>0</v>
      </c>
      <c r="E125" s="248" t="str">
        <f>BESS!D131</f>
        <v>ha</v>
      </c>
      <c r="F125" s="18">
        <f>BESS!K131</f>
        <v>0</v>
      </c>
    </row>
    <row r="126" spans="2:10" s="244" customFormat="1">
      <c r="B126" s="15" t="str">
        <f>BESS!B133</f>
        <v>Buildings by area</v>
      </c>
      <c r="C126" s="16">
        <f>BESS!C141</f>
        <v>0</v>
      </c>
      <c r="D126" s="24">
        <f>BESS!I141</f>
        <v>0</v>
      </c>
      <c r="E126" s="248" t="str">
        <f>BESS!D141</f>
        <v>m2</v>
      </c>
      <c r="F126" s="18">
        <f>BESS!K141</f>
        <v>0</v>
      </c>
    </row>
    <row r="127" spans="2:10" s="244" customFormat="1">
      <c r="B127" s="15" t="str">
        <f>BESS!B143</f>
        <v>Buildings by number</v>
      </c>
      <c r="C127" s="16">
        <f>BESS!C151</f>
        <v>0</v>
      </c>
      <c r="D127" s="24">
        <f>BESS!I151</f>
        <v>0</v>
      </c>
      <c r="E127" s="248" t="str">
        <f>BESS!D151</f>
        <v>buildings</v>
      </c>
      <c r="F127" s="18">
        <f>BESS!K151</f>
        <v>0</v>
      </c>
    </row>
    <row r="128" spans="2:10" s="244" customFormat="1">
      <c r="B128" s="15" t="str">
        <f>BESS!B153</f>
        <v>Land rehabilitation - growth media</v>
      </c>
      <c r="C128" s="16">
        <f>BESS!C171</f>
        <v>0</v>
      </c>
      <c r="D128" s="24">
        <f>BESS!I171</f>
        <v>0</v>
      </c>
      <c r="E128" s="248" t="str">
        <f>BESS!D171</f>
        <v>ha</v>
      </c>
      <c r="F128" s="18">
        <f>BESS!K171</f>
        <v>0</v>
      </c>
    </row>
    <row r="129" spans="2:6" s="244" customFormat="1">
      <c r="B129" s="15" t="str">
        <f>BESS!B173</f>
        <v>Land rehabilitation - ameliorants</v>
      </c>
      <c r="C129" s="16">
        <f>BESS!C188</f>
        <v>0</v>
      </c>
      <c r="D129" s="24">
        <f>BESS!I188</f>
        <v>0</v>
      </c>
      <c r="E129" s="248" t="str">
        <f>BESS!D188</f>
        <v>ha</v>
      </c>
      <c r="F129" s="18">
        <f>BESS!K188</f>
        <v>0</v>
      </c>
    </row>
    <row r="130" spans="2:6" s="244" customFormat="1">
      <c r="B130" s="15" t="str">
        <f>BESS!B190</f>
        <v>Land rehabilitation - revegetation</v>
      </c>
      <c r="C130" s="16">
        <f>BESS!C201</f>
        <v>0</v>
      </c>
      <c r="D130" s="24">
        <f>BESS!I201</f>
        <v>0</v>
      </c>
      <c r="E130" s="248" t="str">
        <f>BESS!D201</f>
        <v>ha</v>
      </c>
      <c r="F130" s="18">
        <f>BESS!K201</f>
        <v>0</v>
      </c>
    </row>
    <row r="131" spans="2:6" s="244" customFormat="1">
      <c r="B131" s="15" t="str">
        <f>BESS!B203</f>
        <v>BESS disposal</v>
      </c>
      <c r="C131" s="16">
        <f>BESS!C210</f>
        <v>0</v>
      </c>
      <c r="D131" s="24">
        <f>BESS!I210</f>
        <v>0</v>
      </c>
      <c r="E131" s="248" t="str">
        <f>BESS!D210</f>
        <v>modules</v>
      </c>
      <c r="F131" s="18">
        <f>BESS!K210</f>
        <v>0</v>
      </c>
    </row>
    <row r="132" spans="2:6" s="244" customFormat="1">
      <c r="B132" s="15" t="str">
        <f>BESS!B212</f>
        <v>BESS recycling (costs not credits)</v>
      </c>
      <c r="C132" s="16">
        <f>BESS!C220</f>
        <v>0</v>
      </c>
      <c r="D132" s="24">
        <f>BESS!I220</f>
        <v>0</v>
      </c>
      <c r="E132" s="248" t="str">
        <f>BESS!D220</f>
        <v>modules</v>
      </c>
      <c r="F132" s="18">
        <f>BESS!K220</f>
        <v>0</v>
      </c>
    </row>
    <row r="133" spans="2:6" s="244" customFormat="1">
      <c r="B133" s="15" t="str">
        <f>BESS!B222</f>
        <v>Concrete crushing</v>
      </c>
      <c r="C133" s="16">
        <f>BESS!C238</f>
        <v>0</v>
      </c>
      <c r="D133" s="24">
        <f>BESS!I238</f>
        <v>0</v>
      </c>
      <c r="E133" s="248" t="str">
        <f>BESS!D238</f>
        <v>m3</v>
      </c>
      <c r="F133" s="18">
        <f>BESS!K238</f>
        <v>0</v>
      </c>
    </row>
    <row r="134" spans="2:6" s="244" customFormat="1">
      <c r="B134" s="15" t="str">
        <f>BESS!B241</f>
        <v>Disposal of construction debris including concrete not part of items above</v>
      </c>
      <c r="C134" s="16">
        <f>BESS!C249</f>
        <v>0</v>
      </c>
      <c r="D134" s="24">
        <f>BESS!I249</f>
        <v>0</v>
      </c>
      <c r="E134" s="248" t="str">
        <f>BESS!D249</f>
        <v>t</v>
      </c>
      <c r="F134" s="18">
        <f>BESS!K249</f>
        <v>0</v>
      </c>
    </row>
    <row r="135" spans="2:6" s="244" customFormat="1">
      <c r="B135" s="15" t="str">
        <f>BESS!B251</f>
        <v>Disposal of steel not part of items above</v>
      </c>
      <c r="C135" s="16">
        <f>BESS!C259</f>
        <v>0</v>
      </c>
      <c r="D135" s="24">
        <f>BESS!I259</f>
        <v>0</v>
      </c>
      <c r="E135" s="248" t="str">
        <f>BESS!D259</f>
        <v>t</v>
      </c>
      <c r="F135" s="18">
        <f>BESS!K259</f>
        <v>0</v>
      </c>
    </row>
    <row r="136" spans="2:6" s="244" customFormat="1">
      <c r="B136" s="15" t="str">
        <f>BESS!B261</f>
        <v>Disposal of soil (by mass)</v>
      </c>
      <c r="C136" s="16">
        <f>BESS!C269</f>
        <v>0</v>
      </c>
      <c r="D136" s="24">
        <f>BESS!I269</f>
        <v>0</v>
      </c>
      <c r="E136" s="248" t="str">
        <f>BESS!D269</f>
        <v>t</v>
      </c>
      <c r="F136" s="18">
        <f>BESS!K269</f>
        <v>0</v>
      </c>
    </row>
    <row r="137" spans="2:6" s="244" customFormat="1">
      <c r="B137" s="15" t="str">
        <f>BESS!B271</f>
        <v>Mobilisation</v>
      </c>
      <c r="C137" s="16">
        <f>BESS!C277</f>
        <v>0</v>
      </c>
      <c r="D137" s="24">
        <f>BESS!I277</f>
        <v>0</v>
      </c>
      <c r="E137" s="248" t="str">
        <f>BESS!D277</f>
        <v>fleets</v>
      </c>
      <c r="F137" s="18">
        <f>BESS!K277</f>
        <v>0</v>
      </c>
    </row>
    <row r="138" spans="2:6" s="244" customFormat="1">
      <c r="B138" s="15" t="str">
        <f>BESS!B279</f>
        <v>Reporting and documentation</v>
      </c>
      <c r="C138" s="16">
        <f>BESS!C287</f>
        <v>0</v>
      </c>
      <c r="D138" s="24">
        <f>BESS!I287</f>
        <v>0</v>
      </c>
      <c r="E138" s="248" t="str">
        <f>BESS!D287</f>
        <v>items</v>
      </c>
      <c r="F138" s="18">
        <f>BESS!K287</f>
        <v>0</v>
      </c>
    </row>
    <row r="139" spans="2:6" s="244" customFormat="1">
      <c r="B139" s="15" t="str">
        <f>BESS!B289</f>
        <v>User entered additional items</v>
      </c>
      <c r="C139" s="16">
        <f>BESS!C298</f>
        <v>0</v>
      </c>
      <c r="D139" s="24">
        <f>BESS!I298</f>
        <v>0</v>
      </c>
      <c r="E139" s="248" t="s">
        <v>1311</v>
      </c>
      <c r="F139" s="18">
        <f>BESS!K298</f>
        <v>0</v>
      </c>
    </row>
    <row r="140" spans="2:6" s="244" customFormat="1">
      <c r="B140" s="15" t="str">
        <f>BESS!B300</f>
        <v>Project costs</v>
      </c>
      <c r="C140" s="216"/>
      <c r="D140" s="217"/>
      <c r="E140" s="249"/>
      <c r="F140" s="18">
        <f>BESS!K306</f>
        <v>0</v>
      </c>
    </row>
    <row r="141" spans="2:6" s="244" customFormat="1">
      <c r="F141" s="250"/>
    </row>
    <row r="142" spans="2:6" s="244" customFormat="1" ht="13">
      <c r="B142" s="251" t="s">
        <v>84</v>
      </c>
      <c r="C142" s="252"/>
      <c r="D142" s="252"/>
      <c r="E142" s="253"/>
      <c r="F142" s="254"/>
    </row>
    <row r="143" spans="2:6" s="244" customFormat="1" ht="13.5" thickBot="1">
      <c r="B143" s="19" t="s">
        <v>85</v>
      </c>
      <c r="F143" s="32">
        <f>SUM(F116:F142)</f>
        <v>0</v>
      </c>
    </row>
    <row r="144" spans="2:6" s="244" customFormat="1">
      <c r="B144" s="15" t="s">
        <v>86</v>
      </c>
      <c r="F144" s="28">
        <f>SUM(F116:F127,F131:F140)</f>
        <v>0</v>
      </c>
    </row>
    <row r="145" spans="2:6" s="244" customFormat="1">
      <c r="B145" s="15" t="s">
        <v>110</v>
      </c>
      <c r="F145" s="28">
        <f>SUM(F121,F131:F132)</f>
        <v>0</v>
      </c>
    </row>
    <row r="146" spans="2:6" s="244" customFormat="1">
      <c r="B146" s="15" t="s">
        <v>88</v>
      </c>
      <c r="C146" s="16">
        <f>BESS!C$12</f>
        <v>0</v>
      </c>
      <c r="D146" s="244" t="s">
        <v>89</v>
      </c>
      <c r="E146" s="255" t="s">
        <v>90</v>
      </c>
      <c r="F146" s="28">
        <f>IF(C146=0,0,F$143/C146)</f>
        <v>0</v>
      </c>
    </row>
    <row r="147" spans="2:6" s="244" customFormat="1">
      <c r="B147" s="15" t="s">
        <v>111</v>
      </c>
      <c r="C147" s="16">
        <f>BESS!C$15</f>
        <v>0</v>
      </c>
      <c r="D147" s="244" t="s">
        <v>112</v>
      </c>
      <c r="E147" s="255" t="s">
        <v>113</v>
      </c>
      <c r="F147" s="28">
        <f t="shared" ref="F147:F148" si="2">IF(C147=0,0,F$143/C147)</f>
        <v>0</v>
      </c>
    </row>
    <row r="148" spans="2:6" s="244" customFormat="1">
      <c r="B148" s="15" t="s">
        <v>94</v>
      </c>
      <c r="C148" s="16">
        <f>BESS!C$11</f>
        <v>0</v>
      </c>
      <c r="D148" s="244" t="s">
        <v>95</v>
      </c>
      <c r="E148" s="255" t="s">
        <v>96</v>
      </c>
      <c r="F148" s="28">
        <f t="shared" si="2"/>
        <v>0</v>
      </c>
    </row>
    <row r="150" spans="2:6" s="244" customFormat="1" ht="13">
      <c r="B150" s="251" t="s">
        <v>98</v>
      </c>
      <c r="C150" s="252"/>
      <c r="D150" s="252"/>
      <c r="E150" s="253"/>
      <c r="F150" s="254"/>
    </row>
    <row r="151" spans="2:6" s="244" customFormat="1" ht="13.5" thickBot="1">
      <c r="B151" s="19" t="s">
        <v>85</v>
      </c>
      <c r="F151" s="32">
        <f>SUM(F152:F153)</f>
        <v>0</v>
      </c>
    </row>
    <row r="152" spans="2:6" s="244" customFormat="1">
      <c r="B152" s="19" t="s">
        <v>114</v>
      </c>
      <c r="C152" s="16">
        <f>BESS!C$15</f>
        <v>0</v>
      </c>
      <c r="D152" s="24">
        <f>BESS!I322</f>
        <v>0</v>
      </c>
      <c r="E152" s="16" t="str">
        <f>BESS!J322</f>
        <v>module        total</v>
      </c>
      <c r="F152" s="28">
        <f>BESS!K322</f>
        <v>0</v>
      </c>
    </row>
    <row r="153" spans="2:6" s="244" customFormat="1">
      <c r="B153" s="15" t="s">
        <v>115</v>
      </c>
      <c r="C153" s="16">
        <f>BESS!C$15</f>
        <v>0</v>
      </c>
      <c r="D153" s="24">
        <f>BESS!I339</f>
        <v>0</v>
      </c>
      <c r="E153" s="16" t="str">
        <f>BESS!J339</f>
        <v>module        total</v>
      </c>
      <c r="F153" s="18">
        <f>BESS!K339</f>
        <v>0</v>
      </c>
    </row>
    <row r="155" spans="2:6" s="244" customFormat="1" ht="13">
      <c r="B155" s="251" t="s">
        <v>99</v>
      </c>
      <c r="C155" s="252"/>
      <c r="D155" s="252"/>
      <c r="E155" s="253"/>
      <c r="F155" s="254"/>
    </row>
    <row r="156" spans="2:6" s="244" customFormat="1" ht="13.5" thickBot="1">
      <c r="B156" s="15" t="s">
        <v>85</v>
      </c>
      <c r="F156" s="32">
        <f>F143-F151</f>
        <v>0</v>
      </c>
    </row>
    <row r="157" spans="2:6" s="244" customFormat="1">
      <c r="B157" s="15" t="s">
        <v>88</v>
      </c>
      <c r="C157" s="16">
        <f>BESS!C$12</f>
        <v>0</v>
      </c>
      <c r="D157" s="244" t="s">
        <v>89</v>
      </c>
      <c r="E157" s="255" t="s">
        <v>90</v>
      </c>
      <c r="F157" s="28">
        <f>IF(C157=0,0,F$156/C157)</f>
        <v>0</v>
      </c>
    </row>
    <row r="158" spans="2:6" s="244" customFormat="1">
      <c r="B158" s="15" t="s">
        <v>100</v>
      </c>
      <c r="C158" s="16">
        <f>BESS!C$15</f>
        <v>0</v>
      </c>
      <c r="D158" s="244" t="s">
        <v>112</v>
      </c>
      <c r="E158" s="255" t="s">
        <v>113</v>
      </c>
      <c r="F158" s="28">
        <f t="shared" ref="F158:F159" si="3">IF(C158=0,0,F$156/C158)</f>
        <v>0</v>
      </c>
    </row>
    <row r="159" spans="2:6" s="244" customFormat="1">
      <c r="B159" s="15" t="s">
        <v>94</v>
      </c>
      <c r="C159" s="16">
        <f>BESS!C$11</f>
        <v>0</v>
      </c>
      <c r="D159" s="244" t="s">
        <v>95</v>
      </c>
      <c r="E159" s="255" t="s">
        <v>96</v>
      </c>
      <c r="F159" s="28">
        <f t="shared" si="3"/>
        <v>0</v>
      </c>
    </row>
    <row r="160" spans="2:6" s="244" customFormat="1" ht="13" thickBot="1"/>
    <row r="161" spans="2:6" s="244" customFormat="1" ht="14" thickTop="1" thickBot="1">
      <c r="E161" s="255" t="s">
        <v>101</v>
      </c>
      <c r="F161" s="25">
        <f>BESS!K2-Summary!F143</f>
        <v>0</v>
      </c>
    </row>
    <row r="162" spans="2:6" s="244" customFormat="1" ht="14" thickTop="1" thickBot="1">
      <c r="E162" s="255" t="s">
        <v>102</v>
      </c>
      <c r="F162" s="25">
        <f>BESS!K4-Summary!F151</f>
        <v>0</v>
      </c>
    </row>
    <row r="163" spans="2:6" s="244" customFormat="1" ht="14" thickTop="1" thickBot="1">
      <c r="E163" s="255" t="s">
        <v>103</v>
      </c>
      <c r="F163" s="25">
        <f>BESS!K6-Summary!F156</f>
        <v>0</v>
      </c>
    </row>
    <row r="164" spans="2:6" s="244" customFormat="1" ht="13" thickTop="1">
      <c r="B164" s="258"/>
      <c r="C164" s="258"/>
      <c r="D164" s="258"/>
      <c r="E164" s="258"/>
      <c r="F164" s="258"/>
    </row>
    <row r="166" spans="2:6" s="244" customFormat="1" ht="21" customHeight="1">
      <c r="B166" s="246" t="str">
        <f>'Green Hydrogen'!B8</f>
        <v>GREEN HYDROGEN</v>
      </c>
      <c r="C166" s="247" t="str">
        <f>C8</f>
        <v>Quantity</v>
      </c>
      <c r="D166" s="247" t="str">
        <f>D8</f>
        <v>Rate</v>
      </c>
      <c r="E166" s="247" t="str">
        <f>E8</f>
        <v>Unit</v>
      </c>
      <c r="F166" s="247" t="str">
        <f>F8</f>
        <v>Totals</v>
      </c>
    </row>
    <row r="167" spans="2:6" s="244" customFormat="1">
      <c r="B167" s="15" t="str">
        <f>'Green Hydrogen'!B18</f>
        <v>Disconnect power supply and diesel generators</v>
      </c>
      <c r="C167" s="16">
        <f>'Green Hydrogen'!C23</f>
        <v>0</v>
      </c>
      <c r="D167" s="17">
        <f>'Green Hydrogen'!I23</f>
        <v>0</v>
      </c>
      <c r="E167" s="248" t="str">
        <f>'Green Hydrogen'!D23</f>
        <v xml:space="preserve">sites </v>
      </c>
      <c r="F167" s="18">
        <f>'Green Hydrogen'!K23</f>
        <v>0</v>
      </c>
    </row>
    <row r="168" spans="2:6" s="244" customFormat="1">
      <c r="B168" s="15" t="str">
        <f>'Green Hydrogen'!B25</f>
        <v>Depressurise and remove residual hydrogen gas</v>
      </c>
      <c r="C168" s="16">
        <f>'Green Hydrogen'!C31</f>
        <v>0</v>
      </c>
      <c r="D168" s="17">
        <f>'Green Hydrogen'!I31</f>
        <v>0</v>
      </c>
      <c r="E168" s="248" t="str">
        <f>'Green Hydrogen'!D31</f>
        <v>plant</v>
      </c>
      <c r="F168" s="18">
        <f>'Green Hydrogen'!K31</f>
        <v>0</v>
      </c>
    </row>
    <row r="169" spans="2:6" s="244" customFormat="1">
      <c r="B169" s="15" t="str">
        <f>'Green Hydrogen'!B33</f>
        <v>Drain, remove and transport electrolysers</v>
      </c>
      <c r="C169" s="16">
        <f>'Green Hydrogen'!C40</f>
        <v>0</v>
      </c>
      <c r="D169" s="17">
        <f>'Green Hydrogen'!I40</f>
        <v>0</v>
      </c>
      <c r="E169" s="248" t="str">
        <f>'Green Hydrogen'!D40</f>
        <v>modules</v>
      </c>
      <c r="F169" s="18">
        <f>'Green Hydrogen'!K40</f>
        <v>0</v>
      </c>
    </row>
    <row r="170" spans="2:6" s="244" customFormat="1">
      <c r="B170" s="15" t="str">
        <f>'Green Hydrogen'!B42</f>
        <v>Drain, remove and transport water supply and purification</v>
      </c>
      <c r="C170" s="16">
        <f>'Green Hydrogen'!C48</f>
        <v>0</v>
      </c>
      <c r="D170" s="17">
        <f>'Green Hydrogen'!I48</f>
        <v>0</v>
      </c>
      <c r="E170" s="248" t="str">
        <f>'Green Hydrogen'!D48</f>
        <v>modules</v>
      </c>
      <c r="F170" s="18">
        <f>'Green Hydrogen'!K48</f>
        <v>0</v>
      </c>
    </row>
    <row r="171" spans="2:6" s="244" customFormat="1">
      <c r="B171" s="15" t="str">
        <f>'Green Hydrogen'!B50</f>
        <v>Remove and transport hydrogen compressors</v>
      </c>
      <c r="C171" s="16">
        <f>'Green Hydrogen'!C56</f>
        <v>0</v>
      </c>
      <c r="D171" s="17">
        <f>'Green Hydrogen'!I56</f>
        <v>0</v>
      </c>
      <c r="E171" s="248" t="str">
        <f>'Green Hydrogen'!D56</f>
        <v>compressors</v>
      </c>
      <c r="F171" s="18">
        <f>'Green Hydrogen'!K56</f>
        <v>0</v>
      </c>
    </row>
    <row r="172" spans="2:6" s="244" customFormat="1">
      <c r="B172" s="15" t="str">
        <f>'Green Hydrogen'!B58</f>
        <v>Demolish hydrogen storage tanks</v>
      </c>
      <c r="C172" s="16">
        <f>'Green Hydrogen'!C68</f>
        <v>0</v>
      </c>
      <c r="D172" s="17">
        <f>'Green Hydrogen'!I68</f>
        <v>0</v>
      </c>
      <c r="E172" s="248" t="str">
        <f>'Green Hydrogen'!D68</f>
        <v>tanks</v>
      </c>
      <c r="F172" s="18">
        <f>'Green Hydrogen'!K68</f>
        <v>0</v>
      </c>
    </row>
    <row r="173" spans="2:6" s="244" customFormat="1">
      <c r="B173" s="15" t="str">
        <f>'Green Hydrogen'!B70</f>
        <v>Decommission tracks and roads and rehabilitate</v>
      </c>
      <c r="C173" s="16">
        <f>'Green Hydrogen'!C91</f>
        <v>0</v>
      </c>
      <c r="D173" s="17">
        <f>'Green Hydrogen'!I91</f>
        <v>0</v>
      </c>
      <c r="E173" s="248" t="str">
        <f>'Green Hydrogen'!D91</f>
        <v>ha</v>
      </c>
      <c r="F173" s="18">
        <f>'Green Hydrogen'!K91</f>
        <v>0</v>
      </c>
    </row>
    <row r="174" spans="2:6" s="244" customFormat="1">
      <c r="B174" s="15" t="str">
        <f>'Green Hydrogen'!B93</f>
        <v>Decommission laydown areas and rehabilitate</v>
      </c>
      <c r="C174" s="16">
        <f>'Green Hydrogen'!C105</f>
        <v>0</v>
      </c>
      <c r="D174" s="17">
        <f>'Green Hydrogen'!I105</f>
        <v>0</v>
      </c>
      <c r="E174" s="248" t="str">
        <f>'Green Hydrogen'!D105</f>
        <v>ha</v>
      </c>
      <c r="F174" s="18">
        <f>'Green Hydrogen'!K105</f>
        <v>0</v>
      </c>
    </row>
    <row r="175" spans="2:6" s="244" customFormat="1">
      <c r="B175" s="15" t="str">
        <f>'Green Hydrogen'!B107</f>
        <v>Decommission airstrips and rehabilitate</v>
      </c>
      <c r="C175" s="16">
        <f>'Green Hydrogen'!C112</f>
        <v>0</v>
      </c>
      <c r="D175" s="17">
        <f>'Green Hydrogen'!I112</f>
        <v>0</v>
      </c>
      <c r="E175" s="248" t="str">
        <f>'Green Hydrogen'!D112</f>
        <v>ha</v>
      </c>
      <c r="F175" s="18">
        <f>'Green Hydrogen'!K112</f>
        <v>0</v>
      </c>
    </row>
    <row r="176" spans="2:6" s="244" customFormat="1">
      <c r="B176" s="15" t="str">
        <f>'Green Hydrogen'!B114</f>
        <v>Demolish / remove buildings (by area)</v>
      </c>
      <c r="C176" s="16">
        <f>'Green Hydrogen'!C122</f>
        <v>0</v>
      </c>
      <c r="D176" s="17">
        <f>'Green Hydrogen'!I122</f>
        <v>0</v>
      </c>
      <c r="E176" s="248" t="str">
        <f>'Green Hydrogen'!D122</f>
        <v>m2</v>
      </c>
      <c r="F176" s="18">
        <f>'Green Hydrogen'!K122</f>
        <v>0</v>
      </c>
    </row>
    <row r="177" spans="2:6" s="244" customFormat="1">
      <c r="B177" s="15" t="str">
        <f>'Green Hydrogen'!B124</f>
        <v>Demolish / remove buildings (by number)</v>
      </c>
      <c r="C177" s="16">
        <f>'Green Hydrogen'!C132</f>
        <v>0</v>
      </c>
      <c r="D177" s="17">
        <f>'Green Hydrogen'!I132</f>
        <v>0</v>
      </c>
      <c r="E177" s="248" t="str">
        <f>'Green Hydrogen'!D132</f>
        <v>buildings</v>
      </c>
      <c r="F177" s="18">
        <f>'Green Hydrogen'!K132</f>
        <v>0</v>
      </c>
    </row>
    <row r="178" spans="2:6" s="244" customFormat="1">
      <c r="B178" s="15" t="str">
        <f>'Green Hydrogen'!B134</f>
        <v>Apply growth media to rehabilitate land</v>
      </c>
      <c r="C178" s="16">
        <f>'Green Hydrogen'!C152</f>
        <v>0</v>
      </c>
      <c r="D178" s="17">
        <f>'Green Hydrogen'!I152</f>
        <v>0</v>
      </c>
      <c r="E178" s="248" t="str">
        <f>'Green Hydrogen'!D152</f>
        <v>ha</v>
      </c>
      <c r="F178" s="18">
        <f>'Green Hydrogen'!K152</f>
        <v>0</v>
      </c>
    </row>
    <row r="179" spans="2:6" s="244" customFormat="1">
      <c r="B179" s="15" t="str">
        <f>'Green Hydrogen'!B154</f>
        <v xml:space="preserve">Apply ameliorants to rehabilitate land </v>
      </c>
      <c r="C179" s="16">
        <f>'Green Hydrogen'!C169</f>
        <v>0</v>
      </c>
      <c r="D179" s="17">
        <f>'Green Hydrogen'!I169</f>
        <v>0</v>
      </c>
      <c r="E179" s="248" t="str">
        <f>'Green Hydrogen'!D169</f>
        <v>ha</v>
      </c>
      <c r="F179" s="18">
        <f>'Green Hydrogen'!K169</f>
        <v>0</v>
      </c>
    </row>
    <row r="180" spans="2:6" s="244" customFormat="1">
      <c r="B180" s="15" t="str">
        <f>'Green Hydrogen'!B171</f>
        <v xml:space="preserve">Revegetate to rehabilitate land </v>
      </c>
      <c r="C180" s="16">
        <f>'Green Hydrogen'!C182</f>
        <v>0</v>
      </c>
      <c r="D180" s="17">
        <f>'Green Hydrogen'!I182</f>
        <v>0</v>
      </c>
      <c r="E180" s="248" t="str">
        <f>'Green Hydrogen'!D182</f>
        <v>ha</v>
      </c>
      <c r="F180" s="18">
        <f>'Green Hydrogen'!K182</f>
        <v>0</v>
      </c>
    </row>
    <row r="181" spans="2:6" s="244" customFormat="1">
      <c r="B181" s="15" t="str">
        <f>'Green Hydrogen'!B184</f>
        <v>Crush concrete</v>
      </c>
      <c r="C181" s="16">
        <f>'Green Hydrogen'!C200</f>
        <v>0</v>
      </c>
      <c r="D181" s="17">
        <f>'Green Hydrogen'!I200</f>
        <v>0</v>
      </c>
      <c r="E181" s="248" t="str">
        <f>'Green Hydrogen'!D200</f>
        <v>m3</v>
      </c>
      <c r="F181" s="18">
        <f>'Green Hydrogen'!K200</f>
        <v>0</v>
      </c>
    </row>
    <row r="182" spans="2:6" s="244" customFormat="1">
      <c r="B182" s="15" t="str">
        <f>'Green Hydrogen'!B203</f>
        <v>Dispose construction debris including concrete not part of items above</v>
      </c>
      <c r="C182" s="16">
        <f>'Green Hydrogen'!C211</f>
        <v>0</v>
      </c>
      <c r="D182" s="17">
        <f>'Green Hydrogen'!I211</f>
        <v>0</v>
      </c>
      <c r="E182" s="248" t="str">
        <f>'Green Hydrogen'!D211</f>
        <v>t</v>
      </c>
      <c r="F182" s="18">
        <f>'Green Hydrogen'!K211</f>
        <v>0</v>
      </c>
    </row>
    <row r="183" spans="2:6" s="244" customFormat="1">
      <c r="B183" s="15" t="str">
        <f>'Green Hydrogen'!B213</f>
        <v>Dispose of steel not part of items above</v>
      </c>
      <c r="C183" s="16">
        <f>'Green Hydrogen'!C221</f>
        <v>0</v>
      </c>
      <c r="D183" s="17">
        <f>'Green Hydrogen'!I221</f>
        <v>0</v>
      </c>
      <c r="E183" s="248" t="str">
        <f>'Green Hydrogen'!D221</f>
        <v>t</v>
      </c>
      <c r="F183" s="18">
        <f>'Green Hydrogen'!K221</f>
        <v>0</v>
      </c>
    </row>
    <row r="184" spans="2:6" s="244" customFormat="1">
      <c r="B184" s="15" t="str">
        <f>'Green Hydrogen'!B223</f>
        <v>Dispose of soil (by mass)</v>
      </c>
      <c r="C184" s="16">
        <f>'Green Hydrogen'!C231</f>
        <v>0</v>
      </c>
      <c r="D184" s="17">
        <f>'Green Hydrogen'!I231</f>
        <v>0</v>
      </c>
      <c r="E184" s="248" t="str">
        <f>'Green Hydrogen'!D231</f>
        <v>t</v>
      </c>
      <c r="F184" s="18">
        <f>'Green Hydrogen'!K231</f>
        <v>0</v>
      </c>
    </row>
    <row r="185" spans="2:6" s="244" customFormat="1">
      <c r="B185" s="15" t="str">
        <f>'Green Hydrogen'!B233</f>
        <v>Mobilisation</v>
      </c>
      <c r="C185" s="16">
        <f>'Green Hydrogen'!C239</f>
        <v>0</v>
      </c>
      <c r="D185" s="17">
        <f>'Green Hydrogen'!I239</f>
        <v>0</v>
      </c>
      <c r="E185" s="248" t="str">
        <f>'Green Hydrogen'!D239</f>
        <v>fleets</v>
      </c>
      <c r="F185" s="18">
        <f>'Green Hydrogen'!K239</f>
        <v>0</v>
      </c>
    </row>
    <row r="186" spans="2:6" s="244" customFormat="1">
      <c r="B186" s="15" t="str">
        <f>'Green Hydrogen'!B241</f>
        <v>Report and document</v>
      </c>
      <c r="C186" s="16">
        <f>'Green Hydrogen'!C249</f>
        <v>0</v>
      </c>
      <c r="D186" s="17">
        <f>'Green Hydrogen'!I249</f>
        <v>0</v>
      </c>
      <c r="E186" s="248" t="str">
        <f>'Green Hydrogen'!D249</f>
        <v>items</v>
      </c>
      <c r="F186" s="18">
        <f>'Green Hydrogen'!K249</f>
        <v>0</v>
      </c>
    </row>
    <row r="187" spans="2:6" s="244" customFormat="1">
      <c r="B187" s="15" t="str">
        <f>'Green Hydrogen'!B251</f>
        <v>User entered additional items</v>
      </c>
      <c r="C187" s="16">
        <f>'Green Hydrogen'!C260</f>
        <v>0</v>
      </c>
      <c r="D187" s="17">
        <f>'Green Hydrogen'!I260</f>
        <v>0</v>
      </c>
      <c r="E187" s="248" t="s">
        <v>1311</v>
      </c>
      <c r="F187" s="18">
        <f>'Green Hydrogen'!K260</f>
        <v>0</v>
      </c>
    </row>
    <row r="188" spans="2:6" s="244" customFormat="1">
      <c r="B188" s="15" t="str">
        <f>'Green Hydrogen'!B262</f>
        <v>Project costs</v>
      </c>
      <c r="C188" s="216"/>
      <c r="D188" s="217"/>
      <c r="E188" s="249"/>
      <c r="F188" s="18">
        <f>'Green Hydrogen'!K268</f>
        <v>0</v>
      </c>
    </row>
    <row r="189" spans="2:6" s="244" customFormat="1">
      <c r="F189" s="250"/>
    </row>
    <row r="190" spans="2:6" s="244" customFormat="1" ht="13">
      <c r="B190" s="251" t="s">
        <v>84</v>
      </c>
      <c r="C190" s="252"/>
      <c r="D190" s="252"/>
      <c r="E190" s="253"/>
      <c r="F190" s="254"/>
    </row>
    <row r="191" spans="2:6" s="244" customFormat="1" ht="13.5" thickBot="1">
      <c r="B191" s="15" t="s">
        <v>85</v>
      </c>
      <c r="E191" s="256"/>
      <c r="F191" s="20">
        <f>SUM(F167:F189)</f>
        <v>0</v>
      </c>
    </row>
    <row r="192" spans="2:6" s="244" customFormat="1" ht="13">
      <c r="B192" s="15" t="s">
        <v>86</v>
      </c>
      <c r="E192" s="256"/>
      <c r="F192" s="18">
        <f>SUM(F167:F177,F181:F188)</f>
        <v>0</v>
      </c>
    </row>
    <row r="193" spans="2:6" s="244" customFormat="1" ht="13">
      <c r="B193" s="15" t="s">
        <v>116</v>
      </c>
      <c r="E193" s="256"/>
      <c r="F193" s="21">
        <f>SUM(F169:F171)</f>
        <v>0</v>
      </c>
    </row>
    <row r="194" spans="2:6" s="244" customFormat="1">
      <c r="B194" s="15" t="s">
        <v>88</v>
      </c>
      <c r="C194" s="16">
        <f>'Green Hydrogen'!$C$13</f>
        <v>0</v>
      </c>
      <c r="D194" s="244" t="str">
        <f>'Green Hydrogen'!$D$13</f>
        <v>MW</v>
      </c>
      <c r="E194" s="255" t="s">
        <v>90</v>
      </c>
      <c r="F194" s="21">
        <f>IF(C194=0,0,F$191/C194)</f>
        <v>0</v>
      </c>
    </row>
    <row r="195" spans="2:6" s="244" customFormat="1">
      <c r="B195" s="15" t="s">
        <v>117</v>
      </c>
      <c r="C195" s="16">
        <f>'Green Hydrogen'!$C$12</f>
        <v>0</v>
      </c>
      <c r="D195" s="244" t="str">
        <f>'Green Hydrogen'!$D$12</f>
        <v>t H2 / day</v>
      </c>
      <c r="E195" s="255" t="s">
        <v>118</v>
      </c>
      <c r="F195" s="21">
        <f t="shared" ref="F195:F197" si="4">IF(C195=0,0,F$191/C195)</f>
        <v>0</v>
      </c>
    </row>
    <row r="196" spans="2:6" s="244" customFormat="1">
      <c r="B196" s="15" t="s">
        <v>111</v>
      </c>
      <c r="C196" s="16">
        <f>'Green Hydrogen'!$C$15</f>
        <v>0</v>
      </c>
      <c r="D196" s="244" t="s">
        <v>119</v>
      </c>
      <c r="E196" s="255" t="s">
        <v>113</v>
      </c>
      <c r="F196" s="21">
        <f t="shared" si="4"/>
        <v>0</v>
      </c>
    </row>
    <row r="197" spans="2:6" s="244" customFormat="1">
      <c r="B197" s="15" t="s">
        <v>120</v>
      </c>
      <c r="C197" s="31">
        <f>'Green Hydrogen'!$C$11</f>
        <v>0</v>
      </c>
      <c r="D197" s="244" t="s">
        <v>95</v>
      </c>
      <c r="E197" s="255" t="s">
        <v>96</v>
      </c>
      <c r="F197" s="21">
        <f t="shared" si="4"/>
        <v>0</v>
      </c>
    </row>
    <row r="199" spans="2:6" s="244" customFormat="1" ht="13">
      <c r="B199" s="251" t="s">
        <v>98</v>
      </c>
      <c r="C199" s="252"/>
      <c r="D199" s="252"/>
      <c r="E199" s="252"/>
      <c r="F199" s="262"/>
    </row>
    <row r="200" spans="2:6" s="244" customFormat="1" ht="13.5" thickBot="1">
      <c r="B200" s="15" t="s">
        <v>85</v>
      </c>
      <c r="C200" s="257"/>
      <c r="D200" s="257"/>
      <c r="E200" s="257"/>
      <c r="F200" s="20">
        <f>SUM(F201:F201)</f>
        <v>0</v>
      </c>
    </row>
    <row r="201" spans="2:6" s="244" customFormat="1">
      <c r="B201" s="15" t="str">
        <f>'Green Hydrogen'!B271</f>
        <v>Electrolyser</v>
      </c>
      <c r="C201" s="16">
        <f>'Green Hydrogen'!C$15</f>
        <v>0</v>
      </c>
      <c r="D201" s="24">
        <f>'Green Hydrogen'!I284</f>
        <v>0</v>
      </c>
      <c r="E201" s="248" t="str">
        <f>'Green Hydrogen'!J284</f>
        <v>module        total</v>
      </c>
      <c r="F201" s="21">
        <f>'Green Hydrogen'!K284</f>
        <v>0</v>
      </c>
    </row>
    <row r="203" spans="2:6" s="244" customFormat="1" ht="13">
      <c r="B203" s="251" t="s">
        <v>99</v>
      </c>
      <c r="C203" s="252"/>
      <c r="D203" s="252"/>
      <c r="E203" s="253"/>
      <c r="F203" s="254"/>
    </row>
    <row r="204" spans="2:6" s="244" customFormat="1" ht="13.5" thickBot="1">
      <c r="B204" s="15" t="s">
        <v>85</v>
      </c>
      <c r="E204" s="256"/>
      <c r="F204" s="20">
        <f>F191-F200</f>
        <v>0</v>
      </c>
    </row>
    <row r="205" spans="2:6" s="244" customFormat="1">
      <c r="B205" s="15" t="s">
        <v>88</v>
      </c>
      <c r="C205" s="16">
        <f>'Green Hydrogen'!$C$13</f>
        <v>0</v>
      </c>
      <c r="D205" s="244" t="str">
        <f>'Green Hydrogen'!$D$13</f>
        <v>MW</v>
      </c>
      <c r="E205" s="255" t="s">
        <v>90</v>
      </c>
      <c r="F205" s="18">
        <f>IF(C205=0,0,F$106/C205)</f>
        <v>0</v>
      </c>
    </row>
    <row r="206" spans="2:6" s="244" customFormat="1">
      <c r="B206" s="15" t="s">
        <v>117</v>
      </c>
      <c r="C206" s="16">
        <f>'Green Hydrogen'!$C$12</f>
        <v>0</v>
      </c>
      <c r="D206" s="244" t="str">
        <f>'Green Hydrogen'!$D$12</f>
        <v>t H2 / day</v>
      </c>
      <c r="E206" s="255" t="s">
        <v>118</v>
      </c>
      <c r="F206" s="18">
        <f t="shared" ref="F206:F208" si="5">IF(C206=0,0,F$106/C206)</f>
        <v>0</v>
      </c>
    </row>
    <row r="207" spans="2:6" s="244" customFormat="1">
      <c r="B207" s="15" t="s">
        <v>100</v>
      </c>
      <c r="C207" s="16">
        <f>'Green Hydrogen'!$C$15</f>
        <v>0</v>
      </c>
      <c r="D207" s="244" t="s">
        <v>119</v>
      </c>
      <c r="E207" s="255" t="s">
        <v>121</v>
      </c>
      <c r="F207" s="18">
        <f t="shared" si="5"/>
        <v>0</v>
      </c>
    </row>
    <row r="208" spans="2:6" s="244" customFormat="1">
      <c r="B208" s="15" t="s">
        <v>94</v>
      </c>
      <c r="C208" s="31">
        <f>'Green Hydrogen'!$C$11</f>
        <v>0</v>
      </c>
      <c r="D208" s="244" t="s">
        <v>95</v>
      </c>
      <c r="E208" s="255" t="s">
        <v>96</v>
      </c>
      <c r="F208" s="18">
        <f t="shared" si="5"/>
        <v>0</v>
      </c>
    </row>
    <row r="209" spans="2:6" s="244" customFormat="1" ht="13" thickBot="1"/>
    <row r="210" spans="2:6" s="244" customFormat="1" ht="14" thickTop="1" thickBot="1">
      <c r="B210" s="257"/>
      <c r="E210" s="255" t="s">
        <v>101</v>
      </c>
      <c r="F210" s="25">
        <f>'Green Hydrogen'!K2-F191</f>
        <v>0</v>
      </c>
    </row>
    <row r="211" spans="2:6" s="244" customFormat="1" ht="14" thickTop="1" thickBot="1">
      <c r="E211" s="255" t="s">
        <v>102</v>
      </c>
      <c r="F211" s="25">
        <f>'Green Hydrogen'!K4-F200</f>
        <v>0</v>
      </c>
    </row>
    <row r="212" spans="2:6" s="244" customFormat="1" ht="14" thickTop="1" thickBot="1">
      <c r="E212" s="255" t="s">
        <v>103</v>
      </c>
      <c r="F212" s="25">
        <f>'Green Hydrogen'!K6-F204</f>
        <v>0</v>
      </c>
    </row>
    <row r="213" spans="2:6" s="244" customFormat="1" ht="13" thickTop="1"/>
    <row r="214" spans="2:6" s="244" customFormat="1" ht="21" customHeight="1">
      <c r="B214" s="246" t="s">
        <v>122</v>
      </c>
      <c r="F214" s="247" t="s">
        <v>123</v>
      </c>
    </row>
    <row r="215" spans="2:6" s="244" customFormat="1" ht="13">
      <c r="B215" s="15" t="str">
        <f>B$8</f>
        <v>SOLAR</v>
      </c>
      <c r="F215" s="33">
        <f>F36</f>
        <v>0</v>
      </c>
    </row>
    <row r="216" spans="2:6" s="244" customFormat="1" ht="13">
      <c r="B216" s="15" t="str">
        <f>B$61</f>
        <v>WIND</v>
      </c>
      <c r="F216" s="33">
        <f>F91</f>
        <v>0</v>
      </c>
    </row>
    <row r="217" spans="2:6" s="244" customFormat="1" ht="13">
      <c r="B217" s="15" t="str">
        <f>B$115</f>
        <v>BESS</v>
      </c>
      <c r="F217" s="33">
        <f>F143</f>
        <v>0</v>
      </c>
    </row>
    <row r="218" spans="2:6" s="244" customFormat="1" ht="13">
      <c r="B218" s="15" t="str">
        <f>B$166</f>
        <v>GREEN HYDROGEN</v>
      </c>
      <c r="F218" s="33">
        <f>F191</f>
        <v>0</v>
      </c>
    </row>
    <row r="219" spans="2:6" s="244" customFormat="1" ht="13.5" thickBot="1">
      <c r="B219" s="15" t="s">
        <v>85</v>
      </c>
      <c r="F219" s="34">
        <f>SUM(F215:F218)</f>
        <v>0</v>
      </c>
    </row>
    <row r="220" spans="2:6" s="244" customFormat="1" ht="13" thickTop="1"/>
    <row r="221" spans="2:6" s="244" customFormat="1" ht="21" customHeight="1">
      <c r="B221" s="246" t="s">
        <v>124</v>
      </c>
      <c r="F221" s="264" t="s">
        <v>125</v>
      </c>
    </row>
    <row r="222" spans="2:6" s="244" customFormat="1" ht="13">
      <c r="B222" s="15" t="str">
        <f>B$8</f>
        <v>SOLAR</v>
      </c>
      <c r="F222" s="33">
        <f>F45</f>
        <v>0</v>
      </c>
    </row>
    <row r="223" spans="2:6" s="244" customFormat="1" ht="13">
      <c r="B223" s="15" t="str">
        <f>B$61</f>
        <v>WIND</v>
      </c>
      <c r="F223" s="33">
        <f>F100</f>
        <v>0</v>
      </c>
    </row>
    <row r="224" spans="2:6" s="244" customFormat="1" ht="13">
      <c r="B224" s="15" t="str">
        <f>B$115</f>
        <v>BESS</v>
      </c>
      <c r="F224" s="33">
        <f>F151</f>
        <v>0</v>
      </c>
    </row>
    <row r="225" spans="2:6" s="244" customFormat="1" ht="13">
      <c r="B225" s="15" t="str">
        <f>B$166</f>
        <v>GREEN HYDROGEN</v>
      </c>
      <c r="F225" s="33">
        <f>F200</f>
        <v>0</v>
      </c>
    </row>
    <row r="226" spans="2:6" s="244" customFormat="1" ht="13.5" thickBot="1">
      <c r="B226" s="15" t="s">
        <v>85</v>
      </c>
      <c r="F226" s="34">
        <f>SUM(F222:F225)</f>
        <v>0</v>
      </c>
    </row>
    <row r="227" spans="2:6" s="244" customFormat="1" ht="13" thickTop="1"/>
    <row r="228" spans="2:6" s="244" customFormat="1" ht="21" customHeight="1">
      <c r="B228" s="246" t="s">
        <v>126</v>
      </c>
      <c r="F228" s="264" t="s">
        <v>125</v>
      </c>
    </row>
    <row r="229" spans="2:6" s="244" customFormat="1" ht="13">
      <c r="B229" s="15" t="str">
        <f>B$8</f>
        <v>SOLAR</v>
      </c>
      <c r="F229" s="33">
        <f>F51</f>
        <v>0</v>
      </c>
    </row>
    <row r="230" spans="2:6" s="244" customFormat="1" ht="13">
      <c r="B230" s="15" t="str">
        <f>B$61</f>
        <v>WIND</v>
      </c>
      <c r="F230" s="33">
        <f>F106</f>
        <v>0</v>
      </c>
    </row>
    <row r="231" spans="2:6" s="244" customFormat="1" ht="13">
      <c r="B231" s="15" t="str">
        <f>B$115</f>
        <v>BESS</v>
      </c>
      <c r="F231" s="33">
        <f>F156</f>
        <v>0</v>
      </c>
    </row>
    <row r="232" spans="2:6" s="244" customFormat="1" ht="13">
      <c r="B232" s="15" t="str">
        <f>B$166</f>
        <v>GREEN HYDROGEN</v>
      </c>
      <c r="F232" s="33">
        <f>F204</f>
        <v>0</v>
      </c>
    </row>
    <row r="233" spans="2:6" s="244" customFormat="1" ht="13.5" thickBot="1">
      <c r="B233" s="15" t="s">
        <v>85</v>
      </c>
      <c r="F233" s="34">
        <f>SUM(F229:F232)</f>
        <v>0</v>
      </c>
    </row>
    <row r="234" spans="2:6" s="244" customFormat="1" ht="13.5" thickTop="1" thickBot="1"/>
    <row r="235" spans="2:6" s="244" customFormat="1" ht="14" thickTop="1" thickBot="1">
      <c r="F235" s="35">
        <f>F219-F226-F233</f>
        <v>0</v>
      </c>
    </row>
  </sheetData>
  <sheetProtection algorithmName="SHA-512" hashValue="rB0AmW4M6yxKHWcGAJx8wHyT5/Fb0b8073WDaBv3KNgLET8sFzPnHpsGRYVqdTUDjmB9ipRmOuyo7GnkQVd70Q==" saltValue="Ylp3+bB7/9oWifXKi+izzw==" spinCount="100000" sheet="1" objects="1" scenarios="1" autoFilter="0"/>
  <conditionalFormatting sqref="F9:F33">
    <cfRule type="dataBar" priority="21">
      <dataBar>
        <cfvo type="min"/>
        <cfvo type="max"/>
        <color theme="9"/>
      </dataBar>
      <extLst>
        <ext xmlns:x14="http://schemas.microsoft.com/office/spreadsheetml/2009/9/main" uri="{B025F937-C7B1-47D3-B67F-A62EFF666E3E}">
          <x14:id>{F7B2B7E8-3BAE-48D1-8C97-4F34FA1C021C}</x14:id>
        </ext>
      </extLst>
    </cfRule>
  </conditionalFormatting>
  <conditionalFormatting sqref="F62:F88">
    <cfRule type="dataBar" priority="22">
      <dataBar>
        <cfvo type="min"/>
        <cfvo type="max"/>
        <color theme="9"/>
      </dataBar>
      <extLst>
        <ext xmlns:x14="http://schemas.microsoft.com/office/spreadsheetml/2009/9/main" uri="{B025F937-C7B1-47D3-B67F-A62EFF666E3E}">
          <x14:id>{2262BE0B-DBAE-47F3-A1CB-273E1A446C3F}</x14:id>
        </ext>
      </extLst>
    </cfRule>
  </conditionalFormatting>
  <conditionalFormatting sqref="F116:F140">
    <cfRule type="dataBar" priority="2">
      <dataBar>
        <cfvo type="min"/>
        <cfvo type="max"/>
        <color theme="9"/>
      </dataBar>
      <extLst>
        <ext xmlns:x14="http://schemas.microsoft.com/office/spreadsheetml/2009/9/main" uri="{B025F937-C7B1-47D3-B67F-A62EFF666E3E}">
          <x14:id>{1DA25CB2-E379-4C9F-BBFC-524E917CFD87}</x14:id>
        </ext>
      </extLst>
    </cfRule>
  </conditionalFormatting>
  <conditionalFormatting sqref="F167:F188">
    <cfRule type="dataBar" priority="20">
      <dataBar>
        <cfvo type="min"/>
        <cfvo type="max"/>
        <color theme="9"/>
      </dataBar>
      <extLst>
        <ext xmlns:x14="http://schemas.microsoft.com/office/spreadsheetml/2009/9/main" uri="{B025F937-C7B1-47D3-B67F-A62EFF666E3E}">
          <x14:id>{43220D2B-1BA5-4183-8B61-E6AE66F74CCC}</x14:id>
        </ext>
      </extLst>
    </cfRule>
  </conditionalFormatting>
  <hyperlinks>
    <hyperlink ref="B3" location="Information" display="Return to Information" xr:uid="{5FDCB1BB-D985-4D79-97AA-8172A54B5B93}"/>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F7B2B7E8-3BAE-48D1-8C97-4F34FA1C021C}">
            <x14:dataBar minLength="0" maxLength="100" border="1" negativeBarBorderColorSameAsPositive="0">
              <x14:cfvo type="autoMin"/>
              <x14:cfvo type="autoMax"/>
              <x14:borderColor theme="9"/>
              <x14:negativeFillColor rgb="FFFF0000"/>
              <x14:negativeBorderColor rgb="FFFF0000"/>
              <x14:axisColor rgb="FF000000"/>
            </x14:dataBar>
          </x14:cfRule>
          <xm:sqref>F9:F33</xm:sqref>
        </x14:conditionalFormatting>
        <x14:conditionalFormatting xmlns:xm="http://schemas.microsoft.com/office/excel/2006/main">
          <x14:cfRule type="dataBar" id="{2262BE0B-DBAE-47F3-A1CB-273E1A446C3F}">
            <x14:dataBar minLength="0" maxLength="100" border="1" negativeBarBorderColorSameAsPositive="0">
              <x14:cfvo type="autoMin"/>
              <x14:cfvo type="autoMax"/>
              <x14:borderColor theme="9"/>
              <x14:negativeFillColor rgb="FFFF0000"/>
              <x14:negativeBorderColor rgb="FFFF0000"/>
              <x14:axisColor rgb="FF000000"/>
            </x14:dataBar>
          </x14:cfRule>
          <xm:sqref>F62:F88</xm:sqref>
        </x14:conditionalFormatting>
        <x14:conditionalFormatting xmlns:xm="http://schemas.microsoft.com/office/excel/2006/main">
          <x14:cfRule type="dataBar" id="{1DA25CB2-E379-4C9F-BBFC-524E917CFD87}">
            <x14:dataBar minLength="0" maxLength="100" border="1" negativeBarBorderColorSameAsPositive="0">
              <x14:cfvo type="autoMin"/>
              <x14:cfvo type="autoMax"/>
              <x14:borderColor theme="9"/>
              <x14:negativeFillColor rgb="FFFF0000"/>
              <x14:negativeBorderColor rgb="FFFF0000"/>
              <x14:axisColor rgb="FF000000"/>
            </x14:dataBar>
          </x14:cfRule>
          <xm:sqref>F116:F140</xm:sqref>
        </x14:conditionalFormatting>
        <x14:conditionalFormatting xmlns:xm="http://schemas.microsoft.com/office/excel/2006/main">
          <x14:cfRule type="dataBar" id="{43220D2B-1BA5-4183-8B61-E6AE66F74CCC}">
            <x14:dataBar minLength="0" maxLength="100" border="1" negativeBarBorderColorSameAsPositive="0">
              <x14:cfvo type="autoMin"/>
              <x14:cfvo type="autoMax"/>
              <x14:borderColor theme="9"/>
              <x14:negativeFillColor rgb="FFFF0000"/>
              <x14:negativeBorderColor rgb="FFFF0000"/>
              <x14:axisColor rgb="FF000000"/>
            </x14:dataBar>
          </x14:cfRule>
          <xm:sqref>F167:F188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7E5A-F04B-40BA-AF14-478561C82685}">
  <sheetPr codeName="Sheet5">
    <tabColor theme="9"/>
  </sheetPr>
  <dimension ref="B2:L330"/>
  <sheetViews>
    <sheetView showGridLines="0" zoomScaleNormal="100" workbookViewId="0">
      <pane xSplit="4" ySplit="8" topLeftCell="E9" activePane="bottomRight" state="frozen"/>
      <selection pane="topRight" activeCell="E1" sqref="E1"/>
      <selection pane="bottomLeft" activeCell="A10" sqref="A10"/>
      <selection pane="bottomRight"/>
    </sheetView>
  </sheetViews>
  <sheetFormatPr defaultColWidth="8.7265625" defaultRowHeight="12.5"/>
  <cols>
    <col min="1" max="1" width="1.81640625" style="244" customWidth="1"/>
    <col min="2" max="2" width="56.1796875" style="244" customWidth="1"/>
    <col min="3" max="3" width="12.54296875" style="244" customWidth="1"/>
    <col min="4" max="4" width="14.81640625" style="244" customWidth="1"/>
    <col min="5" max="5" width="62.54296875" style="244" customWidth="1"/>
    <col min="6" max="6" width="15.1796875" style="244" customWidth="1"/>
    <col min="7" max="7" width="13.26953125" style="244" customWidth="1"/>
    <col min="8" max="8" width="12.54296875" style="244" customWidth="1"/>
    <col min="9" max="9" width="13.54296875" style="244" customWidth="1"/>
    <col min="10" max="10" width="14.81640625" style="244" customWidth="1"/>
    <col min="11" max="11" width="15.7265625" style="244" customWidth="1"/>
    <col min="12" max="12" width="53.7265625" style="244" customWidth="1"/>
    <col min="13" max="16384" width="8.7265625" style="244"/>
  </cols>
  <sheetData>
    <row r="2" spans="2:12" ht="16.5" customHeight="1">
      <c r="B2" s="243" t="str">
        <f>Project_Name</f>
        <v xml:space="preserve">South Australia Hydrogen and Renewable Energy Restoration Cost Estimation Tool </v>
      </c>
      <c r="J2" s="256" t="s">
        <v>127</v>
      </c>
      <c r="K2" s="36">
        <f>F291+K295</f>
        <v>0</v>
      </c>
    </row>
    <row r="3" spans="2:12" ht="3" customHeight="1">
      <c r="J3" s="256"/>
    </row>
    <row r="4" spans="2:12" ht="15.75" customHeight="1">
      <c r="B4" s="37" t="s">
        <v>47</v>
      </c>
      <c r="J4" s="256" t="s">
        <v>128</v>
      </c>
      <c r="K4" s="36">
        <f>K307+K312+K329</f>
        <v>0</v>
      </c>
    </row>
    <row r="5" spans="2:12" ht="3" customHeight="1">
      <c r="B5" s="255"/>
      <c r="J5" s="256"/>
    </row>
    <row r="6" spans="2:12" ht="16.5" customHeight="1">
      <c r="B6" s="37" t="s">
        <v>129</v>
      </c>
      <c r="C6" s="255"/>
      <c r="E6" s="255"/>
      <c r="F6" s="255"/>
      <c r="G6" s="255"/>
      <c r="H6" s="255"/>
      <c r="I6" s="255"/>
      <c r="J6" s="256" t="s">
        <v>130</v>
      </c>
      <c r="K6" s="36">
        <f>K2-K4</f>
        <v>0</v>
      </c>
    </row>
    <row r="7" spans="2:12" ht="3" customHeight="1"/>
    <row r="8" spans="2:12" ht="17.25" customHeight="1">
      <c r="B8" s="221" t="s">
        <v>131</v>
      </c>
      <c r="C8" s="221"/>
      <c r="D8" s="221"/>
      <c r="E8" s="221"/>
      <c r="F8" s="221"/>
      <c r="G8" s="221"/>
      <c r="H8" s="221"/>
      <c r="I8" s="221"/>
      <c r="J8" s="221"/>
      <c r="K8" s="221"/>
      <c r="L8" s="221" t="s">
        <v>132</v>
      </c>
    </row>
    <row r="9" spans="2:12" ht="13">
      <c r="B9" s="265"/>
      <c r="C9" s="265"/>
      <c r="D9" s="265"/>
      <c r="G9" s="265"/>
      <c r="H9" s="265"/>
      <c r="I9" s="265"/>
      <c r="J9" s="265"/>
      <c r="K9" s="265"/>
      <c r="L9" s="265"/>
    </row>
    <row r="10" spans="2:12" ht="13">
      <c r="B10" s="222" t="s">
        <v>133</v>
      </c>
      <c r="C10" s="222"/>
      <c r="D10" s="222"/>
      <c r="E10" s="222"/>
      <c r="F10" s="222"/>
      <c r="G10" s="222"/>
      <c r="H10" s="222"/>
      <c r="I10" s="222"/>
      <c r="J10" s="222"/>
      <c r="K10" s="222"/>
      <c r="L10" s="222"/>
    </row>
    <row r="11" spans="2:12" ht="13">
      <c r="B11" s="38" t="s">
        <v>134</v>
      </c>
      <c r="C11" s="67"/>
      <c r="D11" s="244" t="s">
        <v>135</v>
      </c>
      <c r="G11" s="265"/>
      <c r="H11" s="265"/>
      <c r="I11" s="265"/>
      <c r="J11" s="265"/>
      <c r="K11" s="265"/>
      <c r="L11" s="70"/>
    </row>
    <row r="12" spans="2:12" ht="13">
      <c r="B12" s="38" t="s">
        <v>88</v>
      </c>
      <c r="C12" s="67"/>
      <c r="D12" s="244" t="s">
        <v>136</v>
      </c>
      <c r="G12" s="265"/>
      <c r="H12" s="265"/>
      <c r="I12" s="265"/>
      <c r="J12" s="265"/>
      <c r="K12" s="265"/>
      <c r="L12" s="70"/>
    </row>
    <row r="13" spans="2:12" ht="25">
      <c r="B13" s="38" t="s">
        <v>137</v>
      </c>
      <c r="C13" s="68" t="s">
        <v>138</v>
      </c>
      <c r="G13" s="265"/>
      <c r="H13" s="265"/>
      <c r="I13" s="265"/>
      <c r="J13" s="265"/>
      <c r="K13" s="265"/>
      <c r="L13" s="70"/>
    </row>
    <row r="14" spans="2:12" ht="13">
      <c r="B14" s="38" t="s">
        <v>139</v>
      </c>
      <c r="C14" s="69"/>
      <c r="D14" s="244" t="s">
        <v>92</v>
      </c>
      <c r="G14" s="265"/>
      <c r="H14" s="265"/>
      <c r="I14" s="265"/>
      <c r="J14" s="265"/>
      <c r="K14" s="265"/>
      <c r="L14" s="70"/>
    </row>
    <row r="15" spans="2:12">
      <c r="L15" s="70"/>
    </row>
    <row r="16" spans="2:12" ht="13">
      <c r="B16" s="222" t="s">
        <v>140</v>
      </c>
      <c r="C16" s="222"/>
      <c r="D16" s="222"/>
      <c r="E16" s="222"/>
      <c r="F16" s="222"/>
      <c r="G16" s="222"/>
      <c r="H16" s="222"/>
      <c r="I16" s="222"/>
      <c r="J16" s="222"/>
      <c r="K16" s="222"/>
      <c r="L16" s="222"/>
    </row>
    <row r="17" spans="2:12" ht="13">
      <c r="B17" s="266" t="s">
        <v>141</v>
      </c>
      <c r="C17" s="267" t="s">
        <v>142</v>
      </c>
      <c r="D17" s="267" t="s">
        <v>82</v>
      </c>
      <c r="E17" s="265"/>
      <c r="G17" s="268" t="s">
        <v>81</v>
      </c>
      <c r="H17" s="268" t="s">
        <v>143</v>
      </c>
      <c r="I17" s="268" t="s">
        <v>144</v>
      </c>
      <c r="J17" s="268" t="s">
        <v>145</v>
      </c>
      <c r="K17" s="268" t="s">
        <v>146</v>
      </c>
      <c r="L17" s="70"/>
    </row>
    <row r="18" spans="2:12" ht="13">
      <c r="B18" s="38" t="str">
        <f>'Cost Schedule'!B53</f>
        <v>Disconnect grid</v>
      </c>
      <c r="C18" s="71"/>
      <c r="D18" s="244" t="s">
        <v>147</v>
      </c>
      <c r="E18" s="263"/>
      <c r="F18" s="269"/>
      <c r="G18" s="39">
        <f>'Cost Schedule'!C53</f>
        <v>37164.617880143458</v>
      </c>
      <c r="H18" s="72"/>
      <c r="I18" s="40">
        <f>IF(H18="",G18,H18)</f>
        <v>37164.617880143458</v>
      </c>
      <c r="J18" s="244" t="s">
        <v>148</v>
      </c>
      <c r="K18" s="41">
        <f>I18*C18</f>
        <v>0</v>
      </c>
      <c r="L18" s="73"/>
    </row>
    <row r="19" spans="2:12" ht="13">
      <c r="B19" s="38" t="str">
        <f>'Cost Schedule'!B56</f>
        <v>Diesel generators</v>
      </c>
      <c r="C19" s="71"/>
      <c r="D19" s="244" t="s">
        <v>147</v>
      </c>
      <c r="E19" s="263"/>
      <c r="F19" s="269"/>
      <c r="G19" s="39">
        <f>'Cost Schedule'!C56</f>
        <v>416.27249999999998</v>
      </c>
      <c r="H19" s="72"/>
      <c r="I19" s="40">
        <f>IF(H19="",G19,H19)</f>
        <v>416.27249999999998</v>
      </c>
      <c r="J19" s="244" t="s">
        <v>148</v>
      </c>
      <c r="K19" s="42">
        <f>I19*C19</f>
        <v>0</v>
      </c>
      <c r="L19" s="73"/>
    </row>
    <row r="20" spans="2:12">
      <c r="L20" s="70"/>
    </row>
    <row r="21" spans="2:12" ht="13">
      <c r="B21" s="256" t="s">
        <v>83</v>
      </c>
      <c r="C21" s="43">
        <f>SUM(C17:C20)</f>
        <v>0</v>
      </c>
      <c r="D21" s="244" t="s">
        <v>147</v>
      </c>
      <c r="H21" s="270" t="s">
        <v>149</v>
      </c>
      <c r="I21" s="40">
        <f>IF(C21=0,0,K21/C21)</f>
        <v>0</v>
      </c>
      <c r="J21" s="271" t="s">
        <v>150</v>
      </c>
      <c r="K21" s="44">
        <f>SUM(K17:K20)</f>
        <v>0</v>
      </c>
      <c r="L21" s="73"/>
    </row>
    <row r="22" spans="2:12" ht="13">
      <c r="B22" s="265"/>
      <c r="C22" s="265"/>
      <c r="D22" s="265"/>
      <c r="G22" s="265"/>
      <c r="H22" s="265"/>
      <c r="I22" s="265"/>
      <c r="J22" s="265"/>
      <c r="K22" s="265"/>
      <c r="L22" s="70"/>
    </row>
    <row r="23" spans="2:12" ht="13">
      <c r="B23" s="222" t="s">
        <v>151</v>
      </c>
      <c r="C23" s="222"/>
      <c r="D23" s="222"/>
      <c r="E23" s="222"/>
      <c r="F23" s="222"/>
      <c r="G23" s="222"/>
      <c r="H23" s="222"/>
      <c r="I23" s="222"/>
      <c r="J23" s="222"/>
      <c r="K23" s="222"/>
      <c r="L23" s="222"/>
    </row>
    <row r="24" spans="2:12" s="263" customFormat="1" ht="25">
      <c r="B24" s="272" t="s">
        <v>141</v>
      </c>
      <c r="C24" s="273" t="s">
        <v>142</v>
      </c>
      <c r="D24" s="273" t="s">
        <v>82</v>
      </c>
      <c r="E24" s="274" t="s">
        <v>152</v>
      </c>
      <c r="G24" s="275" t="s">
        <v>81</v>
      </c>
      <c r="H24" s="275" t="s">
        <v>143</v>
      </c>
      <c r="I24" s="275" t="s">
        <v>144</v>
      </c>
      <c r="J24" s="275" t="s">
        <v>145</v>
      </c>
      <c r="K24" s="275" t="s">
        <v>146</v>
      </c>
      <c r="L24" s="92" t="s">
        <v>153</v>
      </c>
    </row>
    <row r="25" spans="2:12" s="263" customFormat="1" ht="13">
      <c r="B25" s="38" t="s">
        <v>154</v>
      </c>
      <c r="C25" s="67"/>
      <c r="D25" s="263" t="s">
        <v>155</v>
      </c>
      <c r="E25" s="74" t="s">
        <v>156</v>
      </c>
      <c r="F25" s="276"/>
      <c r="G25" s="39">
        <f>_xlfn.XLOOKUP(E25,'Cost Schedule'!$B$59:$B$100,'Cost Schedule'!$C$59:$C$100)</f>
        <v>3263.448675089659</v>
      </c>
      <c r="H25" s="72"/>
      <c r="I25" s="40">
        <f t="shared" ref="I25:I37" si="0">IF(H25="",G25,H25)</f>
        <v>3263.448675089659</v>
      </c>
      <c r="J25" s="263" t="s">
        <v>155</v>
      </c>
      <c r="K25" s="46">
        <f t="shared" ref="K25:K33" si="1">I25*C25</f>
        <v>0</v>
      </c>
      <c r="L25" s="73"/>
    </row>
    <row r="26" spans="2:12" s="263" customFormat="1" ht="13">
      <c r="B26" s="38" t="s">
        <v>154</v>
      </c>
      <c r="C26" s="67"/>
      <c r="D26" s="263" t="s">
        <v>155</v>
      </c>
      <c r="E26" s="74" t="s">
        <v>157</v>
      </c>
      <c r="F26" s="276"/>
      <c r="G26" s="39">
        <f>_xlfn.XLOOKUP(E26,'Cost Schedule'!$B$59:$B$100,'Cost Schedule'!$C$59:$C$100)</f>
        <v>3263.448675089659</v>
      </c>
      <c r="H26" s="72"/>
      <c r="I26" s="40">
        <f t="shared" ref="I26:I32" si="2">IF(H26="",G26,H26)</f>
        <v>3263.448675089659</v>
      </c>
      <c r="J26" s="263" t="s">
        <v>155</v>
      </c>
      <c r="K26" s="46">
        <f t="shared" ref="K26:K32" si="3">I26*C26</f>
        <v>0</v>
      </c>
      <c r="L26" s="73"/>
    </row>
    <row r="27" spans="2:12" s="263" customFormat="1" ht="13">
      <c r="B27" s="38" t="s">
        <v>158</v>
      </c>
      <c r="C27" s="67"/>
      <c r="D27" s="263" t="s">
        <v>155</v>
      </c>
      <c r="E27" s="74" t="s">
        <v>159</v>
      </c>
      <c r="F27" s="276"/>
      <c r="G27" s="39">
        <f>_xlfn.XLOOKUP(E27,'Cost Schedule'!$B$62:$B$78,'Cost Schedule'!$C$62:$C$78)</f>
        <v>3451.6632667463637</v>
      </c>
      <c r="H27" s="72"/>
      <c r="I27" s="40">
        <f t="shared" si="2"/>
        <v>3451.6632667463637</v>
      </c>
      <c r="J27" s="263" t="s">
        <v>155</v>
      </c>
      <c r="K27" s="46">
        <f t="shared" si="3"/>
        <v>0</v>
      </c>
      <c r="L27" s="73"/>
    </row>
    <row r="28" spans="2:12" s="263" customFormat="1" ht="13">
      <c r="B28" s="38" t="s">
        <v>158</v>
      </c>
      <c r="C28" s="67"/>
      <c r="D28" s="263" t="s">
        <v>155</v>
      </c>
      <c r="E28" s="74" t="s">
        <v>159</v>
      </c>
      <c r="F28" s="276"/>
      <c r="G28" s="39">
        <f>_xlfn.XLOOKUP(E28,'Cost Schedule'!$B$62:$B$78,'Cost Schedule'!$C$62:$C$78)</f>
        <v>3451.6632667463637</v>
      </c>
      <c r="H28" s="72"/>
      <c r="I28" s="40">
        <f t="shared" si="2"/>
        <v>3451.6632667463637</v>
      </c>
      <c r="J28" s="263" t="s">
        <v>155</v>
      </c>
      <c r="K28" s="46">
        <f t="shared" si="3"/>
        <v>0</v>
      </c>
      <c r="L28" s="73"/>
    </row>
    <row r="29" spans="2:12" s="263" customFormat="1" ht="13">
      <c r="B29" s="38" t="s">
        <v>160</v>
      </c>
      <c r="C29" s="67"/>
      <c r="D29" s="263" t="s">
        <v>155</v>
      </c>
      <c r="E29" s="74" t="s">
        <v>161</v>
      </c>
      <c r="F29" s="276"/>
      <c r="G29" s="39">
        <f>_xlfn.XLOOKUP(E29,'Cost Schedule'!$B$62:$B$78,'Cost Schedule'!$C$62:$C$78)</f>
        <v>3624.2464300836818</v>
      </c>
      <c r="H29" s="72"/>
      <c r="I29" s="40">
        <f t="shared" si="2"/>
        <v>3624.2464300836818</v>
      </c>
      <c r="J29" s="263" t="s">
        <v>155</v>
      </c>
      <c r="K29" s="46">
        <f t="shared" si="3"/>
        <v>0</v>
      </c>
      <c r="L29" s="73"/>
    </row>
    <row r="30" spans="2:12" s="263" customFormat="1" ht="13">
      <c r="B30" s="38" t="s">
        <v>160</v>
      </c>
      <c r="C30" s="67"/>
      <c r="D30" s="263" t="s">
        <v>155</v>
      </c>
      <c r="E30" s="74" t="s">
        <v>162</v>
      </c>
      <c r="F30" s="276"/>
      <c r="G30" s="39">
        <f>_xlfn.XLOOKUP(E30,'Cost Schedule'!$B$62:$B$78,'Cost Schedule'!$C$62:$C$78)</f>
        <v>3796.8295934210005</v>
      </c>
      <c r="H30" s="72"/>
      <c r="I30" s="40">
        <f t="shared" si="2"/>
        <v>3796.8295934210005</v>
      </c>
      <c r="J30" s="263" t="s">
        <v>155</v>
      </c>
      <c r="K30" s="46">
        <f t="shared" si="3"/>
        <v>0</v>
      </c>
      <c r="L30" s="73"/>
    </row>
    <row r="31" spans="2:12" s="263" customFormat="1" ht="13">
      <c r="B31" s="38" t="s">
        <v>163</v>
      </c>
      <c r="C31" s="67"/>
      <c r="D31" s="263" t="s">
        <v>155</v>
      </c>
      <c r="E31" s="74" t="s">
        <v>164</v>
      </c>
      <c r="F31" s="276"/>
      <c r="G31" s="39">
        <f>_xlfn.XLOOKUP(E31,'Cost Schedule'!$B$96:$B$97,'Cost Schedule'!$C$96:$C$97)</f>
        <v>810.33265334927273</v>
      </c>
      <c r="H31" s="72"/>
      <c r="I31" s="40">
        <f t="shared" si="2"/>
        <v>810.33265334927273</v>
      </c>
      <c r="J31" s="263" t="s">
        <v>155</v>
      </c>
      <c r="K31" s="46">
        <f t="shared" si="3"/>
        <v>0</v>
      </c>
      <c r="L31" s="73"/>
    </row>
    <row r="32" spans="2:12" s="263" customFormat="1" ht="13">
      <c r="B32" s="38" t="s">
        <v>163</v>
      </c>
      <c r="C32" s="67"/>
      <c r="D32" s="263" t="s">
        <v>155</v>
      </c>
      <c r="E32" s="74" t="s">
        <v>165</v>
      </c>
      <c r="F32" s="276"/>
      <c r="G32" s="39">
        <f>_xlfn.XLOOKUP(E32,'Cost Schedule'!$B$59:$B$100,'Cost Schedule'!$C$59:$C$100)</f>
        <v>3646.4969400717273</v>
      </c>
      <c r="H32" s="72"/>
      <c r="I32" s="40">
        <f t="shared" si="2"/>
        <v>3646.4969400717273</v>
      </c>
      <c r="J32" s="263" t="s">
        <v>155</v>
      </c>
      <c r="K32" s="46">
        <f t="shared" si="3"/>
        <v>0</v>
      </c>
      <c r="L32" s="73"/>
    </row>
    <row r="33" spans="2:12" s="263" customFormat="1" ht="13">
      <c r="B33" s="38" t="s">
        <v>166</v>
      </c>
      <c r="C33" s="67"/>
      <c r="D33" s="263" t="s">
        <v>155</v>
      </c>
      <c r="E33" s="74" t="s">
        <v>167</v>
      </c>
      <c r="F33" s="276"/>
      <c r="G33" s="39">
        <f>'Cost Schedule'!C98</f>
        <v>299.34486750896593</v>
      </c>
      <c r="H33" s="72"/>
      <c r="I33" s="40">
        <f t="shared" si="0"/>
        <v>299.34486750896593</v>
      </c>
      <c r="J33" s="263" t="s">
        <v>155</v>
      </c>
      <c r="K33" s="46">
        <f t="shared" si="1"/>
        <v>0</v>
      </c>
      <c r="L33" s="73"/>
    </row>
    <row r="34" spans="2:12" s="263" customFormat="1" ht="13">
      <c r="B34" s="38" t="s">
        <v>168</v>
      </c>
      <c r="C34" s="47">
        <f>(_xlfn.XLOOKUP(E25,Assumptions!$B$35:$B$37,Assumptions!$E$35:$E$37)*C25+_xlfn.XLOOKUP(E26,Assumptions!$B$35:$B$37,Assumptions!$E$35:$E$37)*C26)*_xlfn.XLOOKUP(E34,Copper_cables_haul_unload_names_UR,Cable_drums_haul_unload_distance_avg)</f>
        <v>0</v>
      </c>
      <c r="D34" s="263" t="s">
        <v>169</v>
      </c>
      <c r="E34" s="74" t="s">
        <v>170</v>
      </c>
      <c r="F34" s="276"/>
      <c r="G34" s="48">
        <f>_xlfn.XLOOKUP(E34, Copper_cables_haul_unload_names_UR,Copper_cables_haul_unload_rates_UR)</f>
        <v>2.6291971036780728</v>
      </c>
      <c r="H34" s="72"/>
      <c r="I34" s="49">
        <f t="shared" si="0"/>
        <v>2.6291971036780728</v>
      </c>
      <c r="J34" s="263" t="s">
        <v>169</v>
      </c>
      <c r="K34" s="50">
        <f>I34*C34</f>
        <v>0</v>
      </c>
      <c r="L34" s="73"/>
    </row>
    <row r="35" spans="2:12" s="263" customFormat="1" ht="13">
      <c r="B35" s="38" t="s">
        <v>171</v>
      </c>
      <c r="C35" s="47">
        <f>(C27/_xlfn.XLOOKUP(E27,Electrical_cables_names_Ass,Electrical_cables_km_per_drum_Ass)+C28/_xlfn.XLOOKUP(E28,Electrical_cables_names_Ass,Electrical_cables_km_per_drum_Ass)+C29/_xlfn.XLOOKUP(E29,Electrical_cables_names_Ass,Electrical_cables_km_per_drum_Ass)+C30/_xlfn.XLOOKUP(E30,Electrical_cables_names_Ass,Electrical_cables_km_per_drum_Ass))*_xlfn.XLOOKUP(E35,Cable_drums_haul_unload_names_UR,Cable_drums_haul_unload_distance_avg)</f>
        <v>0</v>
      </c>
      <c r="D35" s="263" t="s">
        <v>172</v>
      </c>
      <c r="E35" s="74" t="s">
        <v>173</v>
      </c>
      <c r="F35" s="276"/>
      <c r="G35" s="48">
        <f>_xlfn.XLOOKUP(E35, Cable_drums_haul_unload_names_UR,Cable_drums_haul_unload_rates_UR)</f>
        <v>7.7374086889657834</v>
      </c>
      <c r="H35" s="72"/>
      <c r="I35" s="49">
        <f t="shared" si="0"/>
        <v>7.7374086889657834</v>
      </c>
      <c r="J35" s="263" t="s">
        <v>172</v>
      </c>
      <c r="K35" s="50">
        <f>I35*C35</f>
        <v>0</v>
      </c>
      <c r="L35" s="73"/>
    </row>
    <row r="36" spans="2:12" s="263" customFormat="1" ht="13">
      <c r="B36" s="38" t="s">
        <v>174</v>
      </c>
      <c r="C36" s="47">
        <f>((C31/_xlfn.XLOOKUP(E31,Electrical_cables_names_Ass,Electrical_cables_km_per_drum_Ass)+C32/_xlfn.XLOOKUP(E32,Electrical_cables_names_Ass,Electrical_cables_km_per_drum_Ass))*_xlfn.XLOOKUP(E36,Cable_drums_haul_unload_names_UR,Cable_drums_haul_unload_distance_avg))</f>
        <v>0</v>
      </c>
      <c r="D36" s="263" t="s">
        <v>172</v>
      </c>
      <c r="E36" s="74" t="s">
        <v>173</v>
      </c>
      <c r="F36" s="276"/>
      <c r="G36" s="48">
        <f>_xlfn.XLOOKUP(E36, Cable_drums_haul_unload_names_UR,Cable_drums_haul_unload_rates_UR)</f>
        <v>7.7374086889657834</v>
      </c>
      <c r="H36" s="72"/>
      <c r="I36" s="49">
        <f t="shared" si="0"/>
        <v>7.7374086889657834</v>
      </c>
      <c r="J36" s="263" t="s">
        <v>172</v>
      </c>
      <c r="K36" s="50">
        <f>I36*C36</f>
        <v>0</v>
      </c>
      <c r="L36" s="73"/>
    </row>
    <row r="37" spans="2:12" s="263" customFormat="1" ht="13">
      <c r="B37" s="38" t="s">
        <v>175</v>
      </c>
      <c r="C37" s="47">
        <f>C33/_xlfn.XLOOKUP(E33,Electrical_cables_names_Ass,Electrical_cables_km_per_drum_Ass)*_xlfn.XLOOKUP(E37,Cable_drums_haul_unload_names_UR,Cable_drums_haul_unload_distance_avg)</f>
        <v>0</v>
      </c>
      <c r="D37" s="263" t="s">
        <v>169</v>
      </c>
      <c r="E37" s="74" t="s">
        <v>173</v>
      </c>
      <c r="F37" s="276"/>
      <c r="G37" s="48">
        <f>_xlfn.XLOOKUP(E37, Cable_drums_haul_unload_names_UR,Cable_drums_haul_unload_rates_UR)</f>
        <v>7.7374086889657834</v>
      </c>
      <c r="H37" s="72"/>
      <c r="I37" s="49">
        <f t="shared" si="0"/>
        <v>7.7374086889657834</v>
      </c>
      <c r="J37" s="263" t="str">
        <f>D37</f>
        <v>t-km</v>
      </c>
      <c r="K37" s="46">
        <f>I37*C37</f>
        <v>0</v>
      </c>
      <c r="L37" s="73"/>
    </row>
    <row r="38" spans="2:12" s="263" customFormat="1">
      <c r="C38" s="277"/>
      <c r="I38" s="278"/>
      <c r="L38" s="70"/>
    </row>
    <row r="39" spans="2:12" s="263" customFormat="1" ht="13">
      <c r="B39" s="256" t="str">
        <f>B$21</f>
        <v>Totals</v>
      </c>
      <c r="C39" s="279">
        <f>SUM(C24:C33)</f>
        <v>0</v>
      </c>
      <c r="D39" s="263" t="s">
        <v>155</v>
      </c>
      <c r="H39" s="280" t="s">
        <v>176</v>
      </c>
      <c r="I39" s="51">
        <f>IF(C39=0,0,K39/C39)</f>
        <v>0</v>
      </c>
      <c r="J39" s="281" t="s">
        <v>177</v>
      </c>
      <c r="K39" s="52">
        <f>SUM(K24:K38)</f>
        <v>0</v>
      </c>
      <c r="L39" s="73"/>
    </row>
    <row r="40" spans="2:12" s="263" customFormat="1">
      <c r="L40" s="70"/>
    </row>
    <row r="41" spans="2:12" ht="13">
      <c r="B41" s="222" t="s">
        <v>178</v>
      </c>
      <c r="C41" s="222"/>
      <c r="D41" s="222"/>
      <c r="E41" s="222"/>
      <c r="F41" s="222"/>
      <c r="G41" s="222"/>
      <c r="H41" s="222"/>
      <c r="I41" s="222"/>
      <c r="J41" s="222"/>
      <c r="K41" s="222"/>
      <c r="L41" s="222"/>
    </row>
    <row r="42" spans="2:12" ht="13">
      <c r="B42" s="266" t="s">
        <v>141</v>
      </c>
      <c r="C42" s="267" t="s">
        <v>142</v>
      </c>
      <c r="D42" s="267" t="s">
        <v>82</v>
      </c>
      <c r="F42" s="269"/>
      <c r="G42" s="268" t="s">
        <v>81</v>
      </c>
      <c r="H42" s="268" t="s">
        <v>143</v>
      </c>
      <c r="I42" s="268" t="s">
        <v>144</v>
      </c>
      <c r="J42" s="268" t="s">
        <v>145</v>
      </c>
      <c r="K42" s="268" t="s">
        <v>146</v>
      </c>
      <c r="L42" s="70"/>
    </row>
    <row r="43" spans="2:12" ht="13">
      <c r="B43" s="38" t="s">
        <v>179</v>
      </c>
      <c r="C43" s="75"/>
      <c r="D43" s="244" t="s">
        <v>155</v>
      </c>
      <c r="F43" s="269"/>
      <c r="G43" s="53">
        <f>'Cost Schedule'!$C$390</f>
        <v>27748.513586103494</v>
      </c>
      <c r="H43" s="72"/>
      <c r="I43" s="40">
        <f>IF(H43="",G43,H43)</f>
        <v>27748.513586103494</v>
      </c>
      <c r="J43" s="244" t="s">
        <v>155</v>
      </c>
      <c r="K43" s="46">
        <f>I43*C43</f>
        <v>0</v>
      </c>
      <c r="L43" s="73"/>
    </row>
    <row r="44" spans="2:12" ht="13">
      <c r="B44" s="265"/>
      <c r="C44" s="265"/>
      <c r="D44" s="265"/>
      <c r="F44" s="269"/>
      <c r="G44" s="265"/>
      <c r="H44" s="265"/>
      <c r="I44" s="282"/>
      <c r="J44" s="265"/>
      <c r="K44" s="265"/>
      <c r="L44" s="70"/>
    </row>
    <row r="45" spans="2:12" ht="13">
      <c r="B45" s="256" t="str">
        <f>B$21</f>
        <v>Totals</v>
      </c>
      <c r="C45" s="54">
        <f>SUM(C42:C44)</f>
        <v>0</v>
      </c>
      <c r="D45" s="244" t="s">
        <v>155</v>
      </c>
      <c r="H45" s="270" t="s">
        <v>180</v>
      </c>
      <c r="I45" s="40">
        <f>IF(C45=0,0,K45/C45)</f>
        <v>0</v>
      </c>
      <c r="J45" s="271" t="s">
        <v>177</v>
      </c>
      <c r="K45" s="44">
        <f>SUM(K42:K44)</f>
        <v>0</v>
      </c>
      <c r="L45" s="73"/>
    </row>
    <row r="46" spans="2:12" ht="13">
      <c r="B46" s="265"/>
      <c r="C46" s="265"/>
      <c r="D46" s="265"/>
      <c r="G46" s="265"/>
      <c r="H46" s="265"/>
      <c r="I46" s="265"/>
      <c r="J46" s="265"/>
      <c r="K46" s="265"/>
      <c r="L46" s="70"/>
    </row>
    <row r="47" spans="2:12" ht="13">
      <c r="B47" s="222" t="s">
        <v>181</v>
      </c>
      <c r="C47" s="222"/>
      <c r="D47" s="222"/>
      <c r="E47" s="222"/>
      <c r="F47" s="222"/>
      <c r="G47" s="222"/>
      <c r="H47" s="222"/>
      <c r="I47" s="222"/>
      <c r="J47" s="222"/>
      <c r="K47" s="222"/>
      <c r="L47" s="222"/>
    </row>
    <row r="48" spans="2:12" ht="13">
      <c r="B48" s="266" t="s">
        <v>141</v>
      </c>
      <c r="C48" s="267" t="s">
        <v>142</v>
      </c>
      <c r="D48" s="267" t="s">
        <v>82</v>
      </c>
      <c r="F48" s="269"/>
      <c r="G48" s="268" t="s">
        <v>81</v>
      </c>
      <c r="H48" s="268" t="s">
        <v>143</v>
      </c>
      <c r="I48" s="268" t="s">
        <v>144</v>
      </c>
      <c r="J48" s="268" t="s">
        <v>145</v>
      </c>
      <c r="K48" s="268" t="s">
        <v>146</v>
      </c>
      <c r="L48" s="70"/>
    </row>
    <row r="49" spans="2:12" ht="13">
      <c r="B49" s="38" t="s">
        <v>182</v>
      </c>
      <c r="C49" s="71"/>
      <c r="D49" s="244" t="s">
        <v>183</v>
      </c>
      <c r="F49" s="269"/>
      <c r="G49" s="53">
        <f>'Cost Schedule'!C365</f>
        <v>5097.3254872242924</v>
      </c>
      <c r="H49" s="72"/>
      <c r="I49" s="40">
        <f>IF(H49="",G49,H49)</f>
        <v>5097.3254872242924</v>
      </c>
      <c r="J49" s="244" t="s">
        <v>184</v>
      </c>
      <c r="K49" s="46">
        <f>I49*C49</f>
        <v>0</v>
      </c>
      <c r="L49" s="70"/>
    </row>
    <row r="50" spans="2:12" ht="13">
      <c r="B50" s="38" t="s">
        <v>185</v>
      </c>
      <c r="C50" s="71"/>
      <c r="D50" s="244" t="s">
        <v>186</v>
      </c>
      <c r="F50" s="269"/>
      <c r="G50" s="53">
        <f>'Cost Schedule'!C364</f>
        <v>18932.394022839806</v>
      </c>
      <c r="H50" s="72"/>
      <c r="I50" s="40">
        <f>IF(H50="",G50,H50)</f>
        <v>18932.394022839806</v>
      </c>
      <c r="J50" s="244" t="s">
        <v>187</v>
      </c>
      <c r="K50" s="46">
        <f>I50*C50</f>
        <v>0</v>
      </c>
      <c r="L50" s="70"/>
    </row>
    <row r="51" spans="2:12">
      <c r="L51" s="70"/>
    </row>
    <row r="52" spans="2:12" ht="13">
      <c r="B52" s="256" t="str">
        <f>B$21</f>
        <v>Totals</v>
      </c>
      <c r="C52" s="43">
        <f>SUM(C48:C51)</f>
        <v>0</v>
      </c>
      <c r="D52" s="244" t="s">
        <v>188</v>
      </c>
      <c r="H52" s="270" t="s">
        <v>189</v>
      </c>
      <c r="I52" s="40">
        <f>IF(C52=0,0,K52/C52)</f>
        <v>0</v>
      </c>
      <c r="J52" s="271" t="s">
        <v>190</v>
      </c>
      <c r="K52" s="44">
        <f>SUM(K48:K51)</f>
        <v>0</v>
      </c>
      <c r="L52" s="73"/>
    </row>
    <row r="53" spans="2:12" ht="13">
      <c r="B53" s="265"/>
      <c r="C53" s="265"/>
      <c r="D53" s="265"/>
      <c r="G53" s="265"/>
      <c r="H53" s="265"/>
      <c r="I53" s="265"/>
      <c r="J53" s="265"/>
      <c r="K53" s="265"/>
      <c r="L53" s="70"/>
    </row>
    <row r="54" spans="2:12" ht="13">
      <c r="B54" s="222" t="s">
        <v>191</v>
      </c>
      <c r="C54" s="222"/>
      <c r="D54" s="222"/>
      <c r="E54" s="222"/>
      <c r="F54" s="222"/>
      <c r="G54" s="222"/>
      <c r="H54" s="222"/>
      <c r="I54" s="222"/>
      <c r="J54" s="222"/>
      <c r="K54" s="222"/>
      <c r="L54" s="222"/>
    </row>
    <row r="55" spans="2:12" ht="13">
      <c r="B55" s="266" t="s">
        <v>141</v>
      </c>
      <c r="C55" s="267" t="s">
        <v>142</v>
      </c>
      <c r="D55" s="267" t="s">
        <v>82</v>
      </c>
      <c r="E55" s="269" t="s">
        <v>152</v>
      </c>
      <c r="F55" s="269"/>
      <c r="G55" s="268" t="s">
        <v>81</v>
      </c>
      <c r="H55" s="268" t="s">
        <v>143</v>
      </c>
      <c r="I55" s="268" t="s">
        <v>144</v>
      </c>
      <c r="J55" s="268" t="s">
        <v>145</v>
      </c>
      <c r="K55" s="268" t="s">
        <v>146</v>
      </c>
      <c r="L55" s="70"/>
    </row>
    <row r="56" spans="2:12" ht="13">
      <c r="B56" s="38" t="s">
        <v>192</v>
      </c>
      <c r="C56" s="71"/>
      <c r="D56" s="244" t="s">
        <v>193</v>
      </c>
      <c r="E56" s="74" t="s">
        <v>194</v>
      </c>
      <c r="F56" s="269"/>
      <c r="G56" s="53">
        <f>_xlfn.XLOOKUP(E56,Substation_sizes_UR,Substation_rates_UR)</f>
        <v>53521.3374886819</v>
      </c>
      <c r="H56" s="72"/>
      <c r="I56" s="40">
        <f>IF(H56="",G56,H56)</f>
        <v>53521.3374886819</v>
      </c>
      <c r="J56" s="244" t="s">
        <v>195</v>
      </c>
      <c r="K56" s="46">
        <f>I56*C56</f>
        <v>0</v>
      </c>
      <c r="L56" s="73"/>
    </row>
    <row r="57" spans="2:12" ht="13">
      <c r="B57" s="265"/>
      <c r="C57" s="265"/>
      <c r="D57" s="265"/>
      <c r="F57" s="269"/>
      <c r="G57" s="265"/>
      <c r="H57" s="265"/>
      <c r="I57" s="282"/>
      <c r="J57" s="265"/>
      <c r="K57" s="265"/>
      <c r="L57" s="70"/>
    </row>
    <row r="58" spans="2:12" ht="13">
      <c r="B58" s="256" t="str">
        <f>B$21</f>
        <v>Totals</v>
      </c>
      <c r="C58" s="43">
        <f>SUM(C55:C57)</f>
        <v>0</v>
      </c>
      <c r="D58" s="244" t="s">
        <v>193</v>
      </c>
      <c r="H58" s="270" t="s">
        <v>196</v>
      </c>
      <c r="I58" s="40">
        <f>IF(C58=0,0,K58/C58)</f>
        <v>0</v>
      </c>
      <c r="J58" s="271" t="s">
        <v>197</v>
      </c>
      <c r="K58" s="44">
        <f>SUM(K55:K57)</f>
        <v>0</v>
      </c>
      <c r="L58" s="73"/>
    </row>
    <row r="59" spans="2:12" ht="13">
      <c r="B59" s="265"/>
      <c r="C59" s="265"/>
      <c r="D59" s="265"/>
      <c r="G59" s="265"/>
      <c r="H59" s="265"/>
      <c r="I59" s="265"/>
      <c r="J59" s="265"/>
      <c r="K59" s="265"/>
      <c r="L59" s="70"/>
    </row>
    <row r="60" spans="2:12" ht="13">
      <c r="B60" s="222" t="s">
        <v>198</v>
      </c>
      <c r="C60" s="222"/>
      <c r="D60" s="222"/>
      <c r="E60" s="222"/>
      <c r="F60" s="222"/>
      <c r="G60" s="222"/>
      <c r="H60" s="222"/>
      <c r="I60" s="222"/>
      <c r="J60" s="222"/>
      <c r="K60" s="222"/>
      <c r="L60" s="222"/>
    </row>
    <row r="61" spans="2:12" ht="13">
      <c r="B61" s="266" t="s">
        <v>141</v>
      </c>
      <c r="C61" s="267" t="s">
        <v>142</v>
      </c>
      <c r="D61" s="267" t="s">
        <v>82</v>
      </c>
      <c r="G61" s="268" t="s">
        <v>81</v>
      </c>
      <c r="H61" s="268" t="s">
        <v>143</v>
      </c>
      <c r="I61" s="268" t="s">
        <v>144</v>
      </c>
      <c r="J61" s="268" t="s">
        <v>145</v>
      </c>
      <c r="K61" s="268" t="s">
        <v>146</v>
      </c>
      <c r="L61" s="70"/>
    </row>
    <row r="62" spans="2:12" ht="13">
      <c r="B62" s="38" t="s">
        <v>199</v>
      </c>
      <c r="C62" s="71"/>
      <c r="D62" s="244" t="s">
        <v>200</v>
      </c>
      <c r="E62" s="269"/>
      <c r="F62" s="269"/>
      <c r="G62" s="39">
        <f>'Cost Schedule'!C$433</f>
        <v>2832.9667608686314</v>
      </c>
      <c r="H62" s="72"/>
      <c r="I62" s="40">
        <f>IF(H62="",G62,H62)</f>
        <v>2832.9667608686314</v>
      </c>
      <c r="J62" s="244" t="s">
        <v>201</v>
      </c>
      <c r="K62" s="46">
        <f>I62*C62</f>
        <v>0</v>
      </c>
      <c r="L62" s="70"/>
    </row>
    <row r="63" spans="2:12" ht="13">
      <c r="B63" s="38" t="s">
        <v>202</v>
      </c>
      <c r="C63" s="71"/>
      <c r="D63" s="244" t="s">
        <v>200</v>
      </c>
      <c r="E63" s="269"/>
      <c r="F63" s="269"/>
      <c r="G63" s="39">
        <f>'Cost Schedule'!C$433</f>
        <v>2832.9667608686314</v>
      </c>
      <c r="H63" s="72"/>
      <c r="I63" s="40">
        <f>IF(H63="",G63,H63)</f>
        <v>2832.9667608686314</v>
      </c>
      <c r="J63" s="244" t="s">
        <v>201</v>
      </c>
      <c r="K63" s="46">
        <f>I63*C63</f>
        <v>0</v>
      </c>
      <c r="L63" s="70"/>
    </row>
    <row r="64" spans="2:12">
      <c r="C64" s="255"/>
      <c r="L64" s="70"/>
    </row>
    <row r="65" spans="2:12" ht="13">
      <c r="B65" s="256" t="str">
        <f>B$21</f>
        <v>Totals</v>
      </c>
      <c r="C65" s="283">
        <f>SUM(C61:C64)</f>
        <v>0</v>
      </c>
      <c r="D65" s="244" t="s">
        <v>200</v>
      </c>
      <c r="H65" s="270" t="s">
        <v>203</v>
      </c>
      <c r="I65" s="40">
        <f>IF(C65=0,0,K65/C65)</f>
        <v>0</v>
      </c>
      <c r="J65" s="271" t="s">
        <v>204</v>
      </c>
      <c r="K65" s="44">
        <f>SUM(K61:K64)</f>
        <v>0</v>
      </c>
      <c r="L65" s="70"/>
    </row>
    <row r="66" spans="2:12">
      <c r="L66" s="70"/>
    </row>
    <row r="67" spans="2:12" ht="13">
      <c r="B67" s="222" t="s">
        <v>205</v>
      </c>
      <c r="C67" s="222"/>
      <c r="D67" s="222"/>
      <c r="E67" s="222"/>
      <c r="F67" s="222"/>
      <c r="G67" s="222"/>
      <c r="H67" s="222"/>
      <c r="I67" s="222"/>
      <c r="J67" s="222"/>
      <c r="K67" s="222"/>
      <c r="L67" s="222"/>
    </row>
    <row r="68" spans="2:12" ht="13">
      <c r="B68" s="266" t="s">
        <v>141</v>
      </c>
      <c r="C68" s="267" t="s">
        <v>142</v>
      </c>
      <c r="D68" s="267" t="s">
        <v>82</v>
      </c>
      <c r="E68" s="269" t="s">
        <v>152</v>
      </c>
      <c r="F68" s="269"/>
      <c r="G68" s="268" t="s">
        <v>81</v>
      </c>
      <c r="H68" s="268" t="s">
        <v>143</v>
      </c>
      <c r="I68" s="268" t="s">
        <v>144</v>
      </c>
      <c r="J68" s="268" t="s">
        <v>145</v>
      </c>
      <c r="K68" s="268" t="s">
        <v>146</v>
      </c>
      <c r="L68" s="70"/>
    </row>
    <row r="69" spans="2:12" ht="13">
      <c r="B69" s="38" t="str">
        <f>'Cost Schedule'!B428</f>
        <v>Isolate and electrically and mechanically disconnect panel from rack</v>
      </c>
      <c r="C69" s="284">
        <f>C$14</f>
        <v>0</v>
      </c>
      <c r="D69" s="244" t="s">
        <v>92</v>
      </c>
      <c r="E69" s="285" t="str">
        <f>C13</f>
        <v>Select make and model</v>
      </c>
      <c r="G69" s="48">
        <f>'Cost Schedule'!C428</f>
        <v>1.4057477918160985</v>
      </c>
      <c r="H69" s="215"/>
      <c r="I69" s="49">
        <f t="shared" ref="I69:I73" si="4">IF(H69="",G69,H69)</f>
        <v>1.4057477918160985</v>
      </c>
      <c r="J69" s="244" t="s">
        <v>206</v>
      </c>
      <c r="K69" s="46">
        <f t="shared" ref="K69:K73" si="5">C69*I69</f>
        <v>0</v>
      </c>
      <c r="L69" s="73"/>
    </row>
    <row r="70" spans="2:12" ht="13">
      <c r="B70" s="38" t="s">
        <v>207</v>
      </c>
      <c r="C70" s="286">
        <f>_xlfn.XLOOKUP(E70,Panels_haul_unload_names_UR,Panels_haul_unload_distance_avg)*C69</f>
        <v>0</v>
      </c>
      <c r="D70" s="244" t="s">
        <v>208</v>
      </c>
      <c r="E70" s="76" t="s">
        <v>209</v>
      </c>
      <c r="G70" s="48">
        <f>_xlfn.XLOOKUP(E70,Panels_haul_unload_names_UR,Panels_haul_unload_rates_UR)</f>
        <v>4.9886474172074154E-2</v>
      </c>
      <c r="H70" s="215"/>
      <c r="I70" s="49">
        <f t="shared" si="4"/>
        <v>4.9886474172074154E-2</v>
      </c>
      <c r="J70" s="244" t="s">
        <v>208</v>
      </c>
      <c r="K70" s="46">
        <f>C70*I70</f>
        <v>0</v>
      </c>
      <c r="L70" s="70"/>
    </row>
    <row r="71" spans="2:12" ht="13">
      <c r="B71" s="38" t="str">
        <f>'Cost Schedule'!B429</f>
        <v xml:space="preserve">Cut-up and load racking </v>
      </c>
      <c r="C71" s="286">
        <f>C$69</f>
        <v>0</v>
      </c>
      <c r="D71" s="244" t="s">
        <v>92</v>
      </c>
      <c r="G71" s="48">
        <f>'Cost Schedule'!C429</f>
        <v>4.9112072292413833</v>
      </c>
      <c r="H71" s="215"/>
      <c r="I71" s="49">
        <f t="shared" si="4"/>
        <v>4.9112072292413833</v>
      </c>
      <c r="J71" s="244" t="s">
        <v>206</v>
      </c>
      <c r="K71" s="46">
        <f>C71*I71</f>
        <v>0</v>
      </c>
      <c r="L71" s="73"/>
    </row>
    <row r="72" spans="2:12" ht="13">
      <c r="B72" s="38" t="str">
        <f>'Cost Schedule'!B430</f>
        <v>Pull out and load piles</v>
      </c>
      <c r="C72" s="286">
        <f>C$69</f>
        <v>0</v>
      </c>
      <c r="D72" s="244" t="s">
        <v>92</v>
      </c>
      <c r="G72" s="48">
        <f>'Cost Schedule'!C430</f>
        <v>5.0362072292413833</v>
      </c>
      <c r="H72" s="215"/>
      <c r="I72" s="49">
        <f t="shared" si="4"/>
        <v>5.0362072292413833</v>
      </c>
      <c r="J72" s="244" t="s">
        <v>206</v>
      </c>
      <c r="K72" s="46">
        <f t="shared" si="5"/>
        <v>0</v>
      </c>
      <c r="L72" s="73"/>
    </row>
    <row r="73" spans="2:12" ht="13">
      <c r="B73" s="38" t="str">
        <f>'Cost Schedule'!B431</f>
        <v>Load concrete footings</v>
      </c>
      <c r="C73" s="286">
        <f>C$69</f>
        <v>0</v>
      </c>
      <c r="D73" s="244" t="s">
        <v>92</v>
      </c>
      <c r="G73" s="48">
        <f>'Cost Schedule'!C431</f>
        <v>3</v>
      </c>
      <c r="H73" s="215"/>
      <c r="I73" s="49">
        <f t="shared" si="4"/>
        <v>3</v>
      </c>
      <c r="J73" s="244" t="s">
        <v>206</v>
      </c>
      <c r="K73" s="46">
        <f t="shared" si="5"/>
        <v>0</v>
      </c>
      <c r="L73" s="70"/>
    </row>
    <row r="74" spans="2:12">
      <c r="K74" s="287"/>
      <c r="L74" s="73"/>
    </row>
    <row r="75" spans="2:12" ht="13">
      <c r="B75" s="256" t="str">
        <f>B$21</f>
        <v>Totals</v>
      </c>
      <c r="C75" s="288">
        <f>C69</f>
        <v>0</v>
      </c>
      <c r="D75" s="244" t="s">
        <v>92</v>
      </c>
      <c r="H75" s="270" t="s">
        <v>210</v>
      </c>
      <c r="I75" s="49">
        <f>IF(C75=0,0,K75/C75)</f>
        <v>0</v>
      </c>
      <c r="J75" s="271" t="s">
        <v>211</v>
      </c>
      <c r="K75" s="44">
        <f>SUM(K68:K74)</f>
        <v>0</v>
      </c>
      <c r="L75" s="70"/>
    </row>
    <row r="76" spans="2:12">
      <c r="L76" s="73"/>
    </row>
    <row r="77" spans="2:12" ht="13">
      <c r="B77" s="222" t="s">
        <v>212</v>
      </c>
      <c r="C77" s="222"/>
      <c r="D77" s="222"/>
      <c r="E77" s="222"/>
      <c r="F77" s="222"/>
      <c r="G77" s="222"/>
      <c r="H77" s="222"/>
      <c r="I77" s="222"/>
      <c r="J77" s="222"/>
      <c r="K77" s="222"/>
      <c r="L77" s="222"/>
    </row>
    <row r="78" spans="2:12" ht="13">
      <c r="B78" s="266" t="s">
        <v>141</v>
      </c>
      <c r="C78" s="267" t="s">
        <v>142</v>
      </c>
      <c r="D78" s="267" t="s">
        <v>82</v>
      </c>
      <c r="E78" s="269" t="s">
        <v>152</v>
      </c>
      <c r="F78" s="269"/>
      <c r="G78" s="268" t="s">
        <v>81</v>
      </c>
      <c r="H78" s="268" t="s">
        <v>143</v>
      </c>
      <c r="I78" s="268" t="s">
        <v>144</v>
      </c>
      <c r="J78" s="268" t="s">
        <v>145</v>
      </c>
      <c r="K78" s="268" t="s">
        <v>146</v>
      </c>
      <c r="L78" s="70"/>
    </row>
    <row r="79" spans="2:12" ht="13">
      <c r="B79" s="38" t="s">
        <v>213</v>
      </c>
      <c r="C79" s="67"/>
      <c r="D79" s="244" t="s">
        <v>135</v>
      </c>
      <c r="E79" s="74" t="s">
        <v>214</v>
      </c>
      <c r="F79" s="77" t="s">
        <v>215</v>
      </c>
      <c r="G79" s="39" cm="1">
        <f t="array" ref="G79">_xlfn.XLOOKUP(1,('Cost Schedule'!$B$408:$B$425=Solar!E79)*('Cost Schedule'!$A$408:$A$425=Solar!F79),'Cost Schedule'!$C$408:$C$425)</f>
        <v>1226.4586059565711</v>
      </c>
      <c r="H79" s="72"/>
      <c r="I79" s="40">
        <f t="shared" ref="I79:I96" si="6">IF(H79="",G79,H79)</f>
        <v>1226.4586059565711</v>
      </c>
      <c r="J79" s="244" t="s">
        <v>135</v>
      </c>
      <c r="K79" s="46">
        <f t="shared" ref="K79:K96" si="7">I79*C79</f>
        <v>0</v>
      </c>
      <c r="L79" s="73"/>
    </row>
    <row r="80" spans="2:12" ht="13">
      <c r="B80" s="38" t="s">
        <v>216</v>
      </c>
      <c r="C80" s="67"/>
      <c r="D80" s="244" t="s">
        <v>135</v>
      </c>
      <c r="E80" s="74" t="s">
        <v>214</v>
      </c>
      <c r="F80" s="77" t="s">
        <v>217</v>
      </c>
      <c r="G80" s="39" cm="1">
        <f t="array" ref="G80">_xlfn.XLOOKUP(1,('Cost Schedule'!$B$408:$B$425=Solar!E80)*('Cost Schedule'!$A$408:$A$425=Solar!F80),'Cost Schedule'!$C$408:$C$425)</f>
        <v>1583.4586059565713</v>
      </c>
      <c r="H80" s="72"/>
      <c r="I80" s="40">
        <f t="shared" si="6"/>
        <v>1583.4586059565713</v>
      </c>
      <c r="J80" s="244" t="s">
        <v>135</v>
      </c>
      <c r="K80" s="46">
        <f t="shared" si="7"/>
        <v>0</v>
      </c>
      <c r="L80" s="73"/>
    </row>
    <row r="81" spans="2:12" ht="13">
      <c r="B81" s="38" t="s">
        <v>218</v>
      </c>
      <c r="C81" s="67"/>
      <c r="D81" s="244" t="s">
        <v>135</v>
      </c>
      <c r="E81" s="74" t="s">
        <v>219</v>
      </c>
      <c r="F81" s="77" t="s">
        <v>217</v>
      </c>
      <c r="G81" s="39" cm="1">
        <f t="array" ref="G81">_xlfn.XLOOKUP(1,('Cost Schedule'!$B$408:$B$425=Solar!E81)*('Cost Schedule'!$A$408:$A$425=Solar!F81),'Cost Schedule'!$C$408:$C$425)</f>
        <v>5549.0279822666425</v>
      </c>
      <c r="H81" s="72"/>
      <c r="I81" s="40">
        <f t="shared" si="6"/>
        <v>5549.0279822666425</v>
      </c>
      <c r="J81" s="244" t="s">
        <v>135</v>
      </c>
      <c r="K81" s="46">
        <f t="shared" si="7"/>
        <v>0</v>
      </c>
      <c r="L81" s="73"/>
    </row>
    <row r="82" spans="2:12" ht="13">
      <c r="B82" s="38" t="s">
        <v>220</v>
      </c>
      <c r="C82" s="67"/>
      <c r="D82" s="244" t="s">
        <v>135</v>
      </c>
      <c r="E82" s="74" t="s">
        <v>221</v>
      </c>
      <c r="F82" s="77" t="s">
        <v>217</v>
      </c>
      <c r="G82" s="39" cm="1">
        <f t="array" ref="G82">_xlfn.XLOOKUP(1,('Cost Schedule'!$B$408:$B$425=Solar!E82)*('Cost Schedule'!$A$408:$A$425=Solar!F82),'Cost Schedule'!$C$408:$C$425)</f>
        <v>3166.9172119131426</v>
      </c>
      <c r="H82" s="72"/>
      <c r="I82" s="40">
        <f t="shared" si="6"/>
        <v>3166.9172119131426</v>
      </c>
      <c r="J82" s="244" t="s">
        <v>135</v>
      </c>
      <c r="K82" s="46">
        <f t="shared" si="7"/>
        <v>0</v>
      </c>
      <c r="L82" s="73"/>
    </row>
    <row r="83" spans="2:12" ht="13">
      <c r="B83" s="38" t="s">
        <v>222</v>
      </c>
      <c r="C83" s="67"/>
      <c r="D83" s="244" t="s">
        <v>135</v>
      </c>
      <c r="E83" s="74" t="s">
        <v>221</v>
      </c>
      <c r="F83" s="77" t="s">
        <v>215</v>
      </c>
      <c r="G83" s="39" cm="1">
        <f t="array" ref="G83">_xlfn.XLOOKUP(1,('Cost Schedule'!$B$408:$B$425=Solar!E83)*('Cost Schedule'!$A$408:$A$425=Solar!F83),'Cost Schedule'!$C$408:$C$425)</f>
        <v>2452.9172119131422</v>
      </c>
      <c r="H83" s="72"/>
      <c r="I83" s="40">
        <f t="shared" si="6"/>
        <v>2452.9172119131422</v>
      </c>
      <c r="J83" s="244" t="s">
        <v>135</v>
      </c>
      <c r="K83" s="46">
        <f t="shared" si="7"/>
        <v>0</v>
      </c>
      <c r="L83" s="73"/>
    </row>
    <row r="84" spans="2:12" ht="13">
      <c r="B84" s="38" t="s">
        <v>223</v>
      </c>
      <c r="C84" s="67"/>
      <c r="D84" s="244" t="s">
        <v>135</v>
      </c>
      <c r="E84" s="74" t="s">
        <v>221</v>
      </c>
      <c r="F84" s="77" t="s">
        <v>217</v>
      </c>
      <c r="G84" s="39" cm="1">
        <f t="array" ref="G84">_xlfn.XLOOKUP(1,('Cost Schedule'!$B$408:$B$425=Solar!E84)*('Cost Schedule'!$A$408:$A$425=Solar!F84),'Cost Schedule'!$C$408:$C$425)</f>
        <v>3166.9172119131426</v>
      </c>
      <c r="H84" s="72"/>
      <c r="I84" s="40">
        <f t="shared" si="6"/>
        <v>3166.9172119131426</v>
      </c>
      <c r="J84" s="244" t="s">
        <v>135</v>
      </c>
      <c r="K84" s="46">
        <f t="shared" si="7"/>
        <v>0</v>
      </c>
      <c r="L84" s="73"/>
    </row>
    <row r="85" spans="2:12" ht="13">
      <c r="B85" s="38" t="s">
        <v>224</v>
      </c>
      <c r="C85" s="67"/>
      <c r="D85" s="244" t="s">
        <v>135</v>
      </c>
      <c r="E85" s="74" t="s">
        <v>225</v>
      </c>
      <c r="F85" s="77" t="s">
        <v>226</v>
      </c>
      <c r="G85" s="39" cm="1">
        <f t="array" ref="G85">_xlfn.XLOOKUP(1,('Cost Schedule'!$B$408:$B$425=Solar!E85)*('Cost Schedule'!$A$408:$A$425=Solar!F85),'Cost Schedule'!$C$408:$C$425)</f>
        <v>2677.4167052488369</v>
      </c>
      <c r="H85" s="72"/>
      <c r="I85" s="40">
        <f t="shared" si="6"/>
        <v>2677.4167052488369</v>
      </c>
      <c r="J85" s="244" t="s">
        <v>135</v>
      </c>
      <c r="K85" s="46">
        <f t="shared" si="7"/>
        <v>0</v>
      </c>
      <c r="L85" s="73"/>
    </row>
    <row r="86" spans="2:12" ht="13">
      <c r="B86" s="38" t="s">
        <v>227</v>
      </c>
      <c r="C86" s="67"/>
      <c r="D86" s="244" t="s">
        <v>135</v>
      </c>
      <c r="E86" s="74" t="s">
        <v>225</v>
      </c>
      <c r="F86" s="77" t="s">
        <v>215</v>
      </c>
      <c r="G86" s="39" cm="1">
        <f t="array" ref="G86">_xlfn.XLOOKUP(1,('Cost Schedule'!$B$408:$B$425=Solar!E86)*('Cost Schedule'!$A$408:$A$425=Solar!F86),'Cost Schedule'!$C$408:$C$425)</f>
        <v>3605.8002317426135</v>
      </c>
      <c r="H86" s="72"/>
      <c r="I86" s="40">
        <f t="shared" si="6"/>
        <v>3605.8002317426135</v>
      </c>
      <c r="J86" s="244" t="s">
        <v>135</v>
      </c>
      <c r="K86" s="46">
        <f t="shared" si="7"/>
        <v>0</v>
      </c>
      <c r="L86" s="73"/>
    </row>
    <row r="87" spans="2:12" ht="13">
      <c r="B87" s="38" t="s">
        <v>228</v>
      </c>
      <c r="C87" s="67"/>
      <c r="D87" s="244" t="s">
        <v>135</v>
      </c>
      <c r="E87" s="74" t="s">
        <v>225</v>
      </c>
      <c r="F87" s="77" t="s">
        <v>217</v>
      </c>
      <c r="G87" s="39" cm="1">
        <f t="array" ref="G87">_xlfn.XLOOKUP(1,('Cost Schedule'!$B$408:$B$425=Solar!E87)*('Cost Schedule'!$A$408:$A$425=Solar!F87),'Cost Schedule'!$C$408:$C$425)</f>
        <v>3962.8002317426135</v>
      </c>
      <c r="H87" s="72"/>
      <c r="I87" s="40">
        <f t="shared" si="6"/>
        <v>3962.8002317426135</v>
      </c>
      <c r="J87" s="244" t="s">
        <v>135</v>
      </c>
      <c r="K87" s="46">
        <f t="shared" si="7"/>
        <v>0</v>
      </c>
      <c r="L87" s="73"/>
    </row>
    <row r="88" spans="2:12" ht="13">
      <c r="B88" s="38" t="s">
        <v>229</v>
      </c>
      <c r="C88" s="67"/>
      <c r="D88" s="244" t="s">
        <v>135</v>
      </c>
      <c r="E88" s="74" t="s">
        <v>230</v>
      </c>
      <c r="F88" s="77" t="s">
        <v>226</v>
      </c>
      <c r="G88" s="39" cm="1">
        <f t="array" ref="G88">_xlfn.XLOOKUP(1,('Cost Schedule'!$B$408:$B$425=Solar!E88)*('Cost Schedule'!$A$408:$A$425=Solar!F88),'Cost Schedule'!$C$408:$C$425)</f>
        <v>5354.8334104976739</v>
      </c>
      <c r="H88" s="72"/>
      <c r="I88" s="40">
        <f t="shared" si="6"/>
        <v>5354.8334104976739</v>
      </c>
      <c r="J88" s="244" t="s">
        <v>135</v>
      </c>
      <c r="K88" s="46">
        <f t="shared" si="7"/>
        <v>0</v>
      </c>
      <c r="L88" s="73"/>
    </row>
    <row r="89" spans="2:12" ht="13">
      <c r="B89" s="38" t="s">
        <v>231</v>
      </c>
      <c r="C89" s="67"/>
      <c r="D89" s="244" t="s">
        <v>135</v>
      </c>
      <c r="E89" s="74" t="s">
        <v>230</v>
      </c>
      <c r="F89" s="77" t="s">
        <v>215</v>
      </c>
      <c r="G89" s="39" cm="1">
        <f t="array" ref="G89">_xlfn.XLOOKUP(1,('Cost Schedule'!$B$408:$B$425=Solar!E89)*('Cost Schedule'!$A$408:$A$425=Solar!F89),'Cost Schedule'!$C$408:$C$425)</f>
        <v>7211.600463485227</v>
      </c>
      <c r="H89" s="72"/>
      <c r="I89" s="40">
        <f t="shared" si="6"/>
        <v>7211.600463485227</v>
      </c>
      <c r="J89" s="244" t="s">
        <v>135</v>
      </c>
      <c r="K89" s="46">
        <f t="shared" si="7"/>
        <v>0</v>
      </c>
      <c r="L89" s="73"/>
    </row>
    <row r="90" spans="2:12" ht="13">
      <c r="B90" s="38" t="s">
        <v>232</v>
      </c>
      <c r="C90" s="67"/>
      <c r="D90" s="244" t="s">
        <v>135</v>
      </c>
      <c r="E90" s="74" t="s">
        <v>230</v>
      </c>
      <c r="F90" s="77" t="s">
        <v>217</v>
      </c>
      <c r="G90" s="39" cm="1">
        <f t="array" ref="G90">_xlfn.XLOOKUP(1,('Cost Schedule'!$B$408:$B$425=Solar!E90)*('Cost Schedule'!$A$408:$A$425=Solar!F90),'Cost Schedule'!$C$408:$C$425)</f>
        <v>7925.600463485227</v>
      </c>
      <c r="H90" s="72"/>
      <c r="I90" s="40">
        <f t="shared" si="6"/>
        <v>7925.600463485227</v>
      </c>
      <c r="J90" s="244" t="s">
        <v>135</v>
      </c>
      <c r="K90" s="46">
        <f t="shared" si="7"/>
        <v>0</v>
      </c>
      <c r="L90" s="73"/>
    </row>
    <row r="91" spans="2:12" ht="13">
      <c r="B91" s="38" t="s">
        <v>233</v>
      </c>
      <c r="C91" s="67"/>
      <c r="D91" s="244" t="s">
        <v>135</v>
      </c>
      <c r="E91" s="74" t="s">
        <v>219</v>
      </c>
      <c r="F91" s="77" t="s">
        <v>226</v>
      </c>
      <c r="G91" s="39" cm="1">
        <f t="array" ref="G91">_xlfn.XLOOKUP(1,('Cost Schedule'!$B$408:$B$425=Solar!E91)*('Cost Schedule'!$A$408:$A$425=Solar!F91),'Cost Schedule'!$C$408:$C$425)</f>
        <v>4263.6444557728655</v>
      </c>
      <c r="H91" s="72"/>
      <c r="I91" s="40">
        <f t="shared" si="6"/>
        <v>4263.6444557728655</v>
      </c>
      <c r="J91" s="244" t="s">
        <v>135</v>
      </c>
      <c r="K91" s="46">
        <f t="shared" si="7"/>
        <v>0</v>
      </c>
      <c r="L91" s="73"/>
    </row>
    <row r="92" spans="2:12" ht="13">
      <c r="B92" s="38" t="s">
        <v>234</v>
      </c>
      <c r="C92" s="67"/>
      <c r="D92" s="244" t="s">
        <v>135</v>
      </c>
      <c r="E92" s="74" t="s">
        <v>219</v>
      </c>
      <c r="F92" s="77" t="s">
        <v>215</v>
      </c>
      <c r="G92" s="39" cm="1">
        <f t="array" ref="G92">_xlfn.XLOOKUP(1,('Cost Schedule'!$B$408:$B$425=Solar!E92)*('Cost Schedule'!$A$408:$A$425=Solar!F92),'Cost Schedule'!$C$408:$C$425)</f>
        <v>5192.0279822666425</v>
      </c>
      <c r="H92" s="72"/>
      <c r="I92" s="40">
        <f t="shared" si="6"/>
        <v>5192.0279822666425</v>
      </c>
      <c r="J92" s="244" t="s">
        <v>135</v>
      </c>
      <c r="K92" s="46">
        <f t="shared" si="7"/>
        <v>0</v>
      </c>
      <c r="L92" s="73"/>
    </row>
    <row r="93" spans="2:12" ht="13">
      <c r="B93" s="38" t="s">
        <v>235</v>
      </c>
      <c r="C93" s="67"/>
      <c r="D93" s="244" t="s">
        <v>135</v>
      </c>
      <c r="E93" s="74" t="s">
        <v>219</v>
      </c>
      <c r="F93" s="77" t="s">
        <v>217</v>
      </c>
      <c r="G93" s="39" cm="1">
        <f t="array" ref="G93">_xlfn.XLOOKUP(1,('Cost Schedule'!$B$408:$B$425=Solar!E93)*('Cost Schedule'!$A$408:$A$425=Solar!F93),'Cost Schedule'!$C$408:$C$425)</f>
        <v>5549.0279822666425</v>
      </c>
      <c r="H93" s="72"/>
      <c r="I93" s="40">
        <f t="shared" si="6"/>
        <v>5549.0279822666425</v>
      </c>
      <c r="J93" s="244" t="s">
        <v>135</v>
      </c>
      <c r="K93" s="46">
        <f t="shared" si="7"/>
        <v>0</v>
      </c>
      <c r="L93" s="73"/>
    </row>
    <row r="94" spans="2:12" ht="13">
      <c r="B94" s="38" t="s">
        <v>236</v>
      </c>
      <c r="C94" s="67"/>
      <c r="D94" s="244" t="s">
        <v>135</v>
      </c>
      <c r="E94" s="74" t="s">
        <v>237</v>
      </c>
      <c r="F94" s="77" t="s">
        <v>226</v>
      </c>
      <c r="G94" s="39" cm="1">
        <f t="array" ref="G94">_xlfn.XLOOKUP(1,('Cost Schedule'!$B$408:$B$425=Solar!E94)*('Cost Schedule'!$A$408:$A$425=Solar!F94),'Cost Schedule'!$C$408:$C$425)</f>
        <v>8527.288911545731</v>
      </c>
      <c r="H94" s="72"/>
      <c r="I94" s="40">
        <f t="shared" si="6"/>
        <v>8527.288911545731</v>
      </c>
      <c r="J94" s="244" t="s">
        <v>135</v>
      </c>
      <c r="K94" s="46">
        <f t="shared" si="7"/>
        <v>0</v>
      </c>
      <c r="L94" s="73"/>
    </row>
    <row r="95" spans="2:12" ht="13">
      <c r="B95" s="38" t="s">
        <v>238</v>
      </c>
      <c r="C95" s="67"/>
      <c r="D95" s="244" t="s">
        <v>135</v>
      </c>
      <c r="E95" s="74" t="s">
        <v>237</v>
      </c>
      <c r="F95" s="77" t="s">
        <v>215</v>
      </c>
      <c r="G95" s="39" cm="1">
        <f t="array" ref="G95">_xlfn.XLOOKUP(1,('Cost Schedule'!$B$408:$B$425=Solar!E95)*('Cost Schedule'!$A$408:$A$425=Solar!F95),'Cost Schedule'!$C$408:$C$425)</f>
        <v>10384.055964533285</v>
      </c>
      <c r="H95" s="72"/>
      <c r="I95" s="40">
        <f t="shared" si="6"/>
        <v>10384.055964533285</v>
      </c>
      <c r="J95" s="244" t="s">
        <v>135</v>
      </c>
      <c r="K95" s="46">
        <f t="shared" si="7"/>
        <v>0</v>
      </c>
      <c r="L95" s="73"/>
    </row>
    <row r="96" spans="2:12" ht="13">
      <c r="B96" s="38" t="s">
        <v>239</v>
      </c>
      <c r="C96" s="67"/>
      <c r="D96" s="244" t="s">
        <v>135</v>
      </c>
      <c r="E96" s="74" t="s">
        <v>237</v>
      </c>
      <c r="F96" s="77" t="s">
        <v>217</v>
      </c>
      <c r="G96" s="39" cm="1">
        <f t="array" ref="G96">_xlfn.XLOOKUP(1,('Cost Schedule'!$B$408:$B$425=Solar!E96)*('Cost Schedule'!$A$408:$A$425=Solar!F96),'Cost Schedule'!$C$408:$C$425)</f>
        <v>11098.055964533285</v>
      </c>
      <c r="H96" s="72"/>
      <c r="I96" s="40">
        <f t="shared" si="6"/>
        <v>11098.055964533285</v>
      </c>
      <c r="J96" s="244" t="s">
        <v>135</v>
      </c>
      <c r="K96" s="46">
        <f t="shared" si="7"/>
        <v>0</v>
      </c>
      <c r="L96" s="73"/>
    </row>
    <row r="97" spans="2:12">
      <c r="C97" s="289"/>
      <c r="I97" s="287"/>
      <c r="L97" s="70"/>
    </row>
    <row r="98" spans="2:12" ht="13">
      <c r="B98" s="256" t="str">
        <f>B$21</f>
        <v>Totals</v>
      </c>
      <c r="C98" s="290">
        <f>SUM(C78:C97)</f>
        <v>0</v>
      </c>
      <c r="D98" s="244" t="s">
        <v>135</v>
      </c>
      <c r="H98" s="270" t="s">
        <v>240</v>
      </c>
      <c r="I98" s="40">
        <f>IF(C98=0,0,K98/C98)</f>
        <v>0</v>
      </c>
      <c r="J98" s="271" t="s">
        <v>241</v>
      </c>
      <c r="K98" s="44">
        <f>SUM(K78:K97)</f>
        <v>0</v>
      </c>
      <c r="L98" s="73"/>
    </row>
    <row r="99" spans="2:12">
      <c r="L99" s="70"/>
    </row>
    <row r="100" spans="2:12" ht="13">
      <c r="B100" s="222" t="s">
        <v>242</v>
      </c>
      <c r="C100" s="222"/>
      <c r="D100" s="222"/>
      <c r="E100" s="222"/>
      <c r="F100" s="222"/>
      <c r="G100" s="222"/>
      <c r="H100" s="222"/>
      <c r="I100" s="222"/>
      <c r="J100" s="222"/>
      <c r="K100" s="222"/>
      <c r="L100" s="222"/>
    </row>
    <row r="101" spans="2:12" ht="13">
      <c r="B101" s="266" t="s">
        <v>141</v>
      </c>
      <c r="C101" s="267" t="s">
        <v>142</v>
      </c>
      <c r="D101" s="267" t="s">
        <v>82</v>
      </c>
      <c r="E101" s="269" t="s">
        <v>152</v>
      </c>
      <c r="F101" s="269"/>
      <c r="G101" s="268" t="s">
        <v>81</v>
      </c>
      <c r="H101" s="268" t="s">
        <v>143</v>
      </c>
      <c r="I101" s="268" t="s">
        <v>144</v>
      </c>
      <c r="J101" s="268" t="s">
        <v>145</v>
      </c>
      <c r="K101" s="268" t="s">
        <v>146</v>
      </c>
      <c r="L101" s="70"/>
    </row>
    <row r="102" spans="2:12" ht="13">
      <c r="B102" s="38" t="s">
        <v>243</v>
      </c>
      <c r="C102" s="67"/>
      <c r="D102" s="244" t="s">
        <v>135</v>
      </c>
      <c r="E102" s="74" t="s">
        <v>244</v>
      </c>
      <c r="F102" s="77" t="s">
        <v>217</v>
      </c>
      <c r="G102" s="39" cm="1">
        <f t="array" ref="G102">_xlfn.XLOOKUP(1,('Cost Schedule'!$B$222:$B$230=Solar!E102)*('Cost Schedule'!$A$222:$A$230=Solar!F102),'Cost Schedule'!$C$222:$C$230)</f>
        <v>5985.8030455049229</v>
      </c>
      <c r="H102" s="72"/>
      <c r="I102" s="40">
        <f t="shared" ref="I102:I110" si="8">IF(H102="",G102,H102)</f>
        <v>5985.8030455049229</v>
      </c>
      <c r="J102" s="244" t="s">
        <v>135</v>
      </c>
      <c r="K102" s="46">
        <f t="shared" ref="K102:K110" si="9">I102*C102</f>
        <v>0</v>
      </c>
      <c r="L102" s="73"/>
    </row>
    <row r="103" spans="2:12" ht="13">
      <c r="B103" s="38" t="s">
        <v>245</v>
      </c>
      <c r="C103" s="67"/>
      <c r="D103" s="244" t="s">
        <v>135</v>
      </c>
      <c r="E103" s="74" t="s">
        <v>246</v>
      </c>
      <c r="F103" s="77" t="s">
        <v>217</v>
      </c>
      <c r="G103" s="39" cm="1">
        <f t="array" ref="G103">_xlfn.XLOOKUP(1,('Cost Schedule'!$B$222:$B$230=Solar!E103)*('Cost Schedule'!$A$222:$A$230=Solar!F103),'Cost Schedule'!$C$222:$C$230)</f>
        <v>21848.080550745202</v>
      </c>
      <c r="H103" s="72"/>
      <c r="I103" s="40">
        <f t="shared" si="8"/>
        <v>21848.080550745202</v>
      </c>
      <c r="J103" s="244" t="s">
        <v>135</v>
      </c>
      <c r="K103" s="46">
        <f>I103*C103</f>
        <v>0</v>
      </c>
      <c r="L103" s="73"/>
    </row>
    <row r="104" spans="2:12" ht="13">
      <c r="B104" s="38" t="s">
        <v>247</v>
      </c>
      <c r="C104" s="67"/>
      <c r="D104" s="244" t="s">
        <v>135</v>
      </c>
      <c r="E104" s="74" t="s">
        <v>248</v>
      </c>
      <c r="F104" s="77" t="s">
        <v>217</v>
      </c>
      <c r="G104" s="39" cm="1">
        <f t="array" ref="G104">_xlfn.XLOOKUP(1,('Cost Schedule'!$B$222:$B$230=Solar!E104)*('Cost Schedule'!$A$222:$A$230=Solar!F104),'Cost Schedule'!$C$222:$C$230)</f>
        <v>64965.977915551659</v>
      </c>
      <c r="H104" s="72"/>
      <c r="I104" s="40">
        <f t="shared" si="8"/>
        <v>64965.977915551659</v>
      </c>
      <c r="J104" s="244" t="s">
        <v>135</v>
      </c>
      <c r="K104" s="46">
        <f t="shared" si="9"/>
        <v>0</v>
      </c>
      <c r="L104" s="73"/>
    </row>
    <row r="105" spans="2:12" ht="13">
      <c r="B105" s="38" t="s">
        <v>249</v>
      </c>
      <c r="C105" s="67"/>
      <c r="D105" s="244" t="s">
        <v>135</v>
      </c>
      <c r="E105" s="74" t="s">
        <v>244</v>
      </c>
      <c r="F105" s="77" t="s">
        <v>217</v>
      </c>
      <c r="G105" s="39" cm="1">
        <f t="array" ref="G105">_xlfn.XLOOKUP(1,('Cost Schedule'!$B$222:$B$230=Solar!E105)*('Cost Schedule'!$A$222:$A$230=Solar!F105),'Cost Schedule'!$C$222:$C$230)</f>
        <v>5985.8030455049229</v>
      </c>
      <c r="H105" s="72"/>
      <c r="I105" s="40">
        <f t="shared" si="8"/>
        <v>5985.8030455049229</v>
      </c>
      <c r="J105" s="244" t="s">
        <v>135</v>
      </c>
      <c r="K105" s="46">
        <f t="shared" si="9"/>
        <v>0</v>
      </c>
      <c r="L105" s="73"/>
    </row>
    <row r="106" spans="2:12" ht="13">
      <c r="B106" s="38" t="s">
        <v>250</v>
      </c>
      <c r="C106" s="67"/>
      <c r="D106" s="244" t="s">
        <v>135</v>
      </c>
      <c r="E106" s="74" t="s">
        <v>244</v>
      </c>
      <c r="F106" s="77" t="s">
        <v>217</v>
      </c>
      <c r="G106" s="39" cm="1">
        <f t="array" ref="G106">_xlfn.XLOOKUP(1,('Cost Schedule'!$B$222:$B$230=Solar!E106)*('Cost Schedule'!$A$222:$A$230=Solar!F106),'Cost Schedule'!$C$222:$C$230)</f>
        <v>5985.8030455049229</v>
      </c>
      <c r="H106" s="72"/>
      <c r="I106" s="40">
        <f t="shared" si="8"/>
        <v>5985.8030455049229</v>
      </c>
      <c r="J106" s="244" t="s">
        <v>135</v>
      </c>
      <c r="K106" s="46">
        <f t="shared" si="9"/>
        <v>0</v>
      </c>
      <c r="L106" s="73"/>
    </row>
    <row r="107" spans="2:12" ht="13">
      <c r="B107" s="38" t="s">
        <v>251</v>
      </c>
      <c r="C107" s="67"/>
      <c r="D107" s="244" t="s">
        <v>135</v>
      </c>
      <c r="E107" s="74" t="s">
        <v>244</v>
      </c>
      <c r="F107" s="77" t="s">
        <v>217</v>
      </c>
      <c r="G107" s="39" cm="1">
        <f t="array" ref="G107">_xlfn.XLOOKUP(1,('Cost Schedule'!$B$222:$B$230=Solar!E107)*('Cost Schedule'!$A$222:$A$230=Solar!F107),'Cost Schedule'!$C$222:$C$230)</f>
        <v>5985.8030455049229</v>
      </c>
      <c r="H107" s="72"/>
      <c r="I107" s="40">
        <f t="shared" si="8"/>
        <v>5985.8030455049229</v>
      </c>
      <c r="J107" s="244" t="s">
        <v>135</v>
      </c>
      <c r="K107" s="46">
        <f t="shared" si="9"/>
        <v>0</v>
      </c>
      <c r="L107" s="73"/>
    </row>
    <row r="108" spans="2:12" ht="13">
      <c r="B108" s="38" t="s">
        <v>252</v>
      </c>
      <c r="C108" s="67"/>
      <c r="D108" s="244" t="s">
        <v>135</v>
      </c>
      <c r="E108" s="74" t="s">
        <v>244</v>
      </c>
      <c r="F108" s="77" t="s">
        <v>217</v>
      </c>
      <c r="G108" s="39" cm="1">
        <f t="array" ref="G108">_xlfn.XLOOKUP(1,('Cost Schedule'!$B$222:$B$230=Solar!E108)*('Cost Schedule'!$A$222:$A$230=Solar!F108),'Cost Schedule'!$C$222:$C$230)</f>
        <v>5985.8030455049229</v>
      </c>
      <c r="H108" s="72"/>
      <c r="I108" s="40">
        <f t="shared" si="8"/>
        <v>5985.8030455049229</v>
      </c>
      <c r="J108" s="244" t="s">
        <v>135</v>
      </c>
      <c r="K108" s="46">
        <f t="shared" si="9"/>
        <v>0</v>
      </c>
      <c r="L108" s="73"/>
    </row>
    <row r="109" spans="2:12" ht="13">
      <c r="B109" s="38" t="s">
        <v>253</v>
      </c>
      <c r="C109" s="67"/>
      <c r="D109" s="244" t="s">
        <v>135</v>
      </c>
      <c r="E109" s="74" t="s">
        <v>244</v>
      </c>
      <c r="F109" s="77" t="s">
        <v>217</v>
      </c>
      <c r="G109" s="39" cm="1">
        <f t="array" ref="G109">_xlfn.XLOOKUP(1,('Cost Schedule'!$B$222:$B$230=Solar!E109)*('Cost Schedule'!$A$222:$A$230=Solar!F109),'Cost Schedule'!$C$222:$C$230)</f>
        <v>5985.8030455049229</v>
      </c>
      <c r="H109" s="72"/>
      <c r="I109" s="40">
        <f t="shared" si="8"/>
        <v>5985.8030455049229</v>
      </c>
      <c r="J109" s="244" t="s">
        <v>135</v>
      </c>
      <c r="K109" s="46">
        <f t="shared" si="9"/>
        <v>0</v>
      </c>
      <c r="L109" s="73"/>
    </row>
    <row r="110" spans="2:12" ht="13">
      <c r="B110" s="38" t="s">
        <v>254</v>
      </c>
      <c r="C110" s="67"/>
      <c r="D110" s="244" t="s">
        <v>135</v>
      </c>
      <c r="E110" s="74" t="s">
        <v>244</v>
      </c>
      <c r="F110" s="77" t="s">
        <v>217</v>
      </c>
      <c r="G110" s="39" cm="1">
        <f t="array" ref="G110">_xlfn.XLOOKUP(1,('Cost Schedule'!$B$222:$B$230=Solar!E110)*('Cost Schedule'!$A$222:$A$230=Solar!F110),'Cost Schedule'!$C$222:$C$230)</f>
        <v>5985.8030455049229</v>
      </c>
      <c r="H110" s="72"/>
      <c r="I110" s="40">
        <f t="shared" si="8"/>
        <v>5985.8030455049229</v>
      </c>
      <c r="J110" s="244" t="s">
        <v>135</v>
      </c>
      <c r="K110" s="46">
        <f t="shared" si="9"/>
        <v>0</v>
      </c>
      <c r="L110" s="73"/>
    </row>
    <row r="111" spans="2:12">
      <c r="C111" s="291"/>
      <c r="L111" s="73"/>
    </row>
    <row r="112" spans="2:12" ht="13">
      <c r="B112" s="256" t="str">
        <f>B$21</f>
        <v>Totals</v>
      </c>
      <c r="C112" s="290">
        <f>SUM(C101:C111)</f>
        <v>0</v>
      </c>
      <c r="D112" s="244" t="s">
        <v>135</v>
      </c>
      <c r="H112" s="270" t="s">
        <v>255</v>
      </c>
      <c r="I112" s="40">
        <f>IF(C112=0,0,K112/C112)</f>
        <v>0</v>
      </c>
      <c r="J112" s="271" t="s">
        <v>241</v>
      </c>
      <c r="K112" s="44">
        <f>SUM(K101:K111)</f>
        <v>0</v>
      </c>
      <c r="L112" s="73"/>
    </row>
    <row r="113" spans="2:12">
      <c r="L113" s="70"/>
    </row>
    <row r="114" spans="2:12" ht="13">
      <c r="B114" s="222" t="s">
        <v>256</v>
      </c>
      <c r="C114" s="222"/>
      <c r="D114" s="222"/>
      <c r="E114" s="222"/>
      <c r="F114" s="222"/>
      <c r="G114" s="222"/>
      <c r="H114" s="222"/>
      <c r="I114" s="222"/>
      <c r="J114" s="222"/>
      <c r="K114" s="222"/>
      <c r="L114" s="222"/>
    </row>
    <row r="115" spans="2:12" ht="13">
      <c r="B115" s="266" t="s">
        <v>141</v>
      </c>
      <c r="C115" s="267" t="s">
        <v>142</v>
      </c>
      <c r="D115" s="267" t="s">
        <v>82</v>
      </c>
      <c r="E115" s="269" t="s">
        <v>152</v>
      </c>
      <c r="F115" s="269"/>
      <c r="G115" s="268" t="s">
        <v>81</v>
      </c>
      <c r="H115" s="268" t="s">
        <v>143</v>
      </c>
      <c r="I115" s="268" t="s">
        <v>144</v>
      </c>
      <c r="J115" s="268" t="s">
        <v>145</v>
      </c>
      <c r="K115" s="268" t="s">
        <v>146</v>
      </c>
      <c r="L115" s="70"/>
    </row>
    <row r="116" spans="2:12" ht="13">
      <c r="B116" s="38" t="s">
        <v>257</v>
      </c>
      <c r="C116" s="67"/>
      <c r="D116" s="244" t="s">
        <v>135</v>
      </c>
      <c r="E116" s="74" t="s">
        <v>258</v>
      </c>
      <c r="F116" s="77" t="s">
        <v>226</v>
      </c>
      <c r="G116" s="39" cm="1">
        <f t="array" ref="G116">_xlfn.XLOOKUP(1,('Cost Schedule'!$B$6:$B$14=Solar!E116)*('Cost Schedule'!$A$6:$A$14=Solar!F116),'Cost Schedule'!$C$6:$C$14)</f>
        <v>17563.468795765948</v>
      </c>
      <c r="H116" s="72"/>
      <c r="I116" s="40">
        <f>IF(H116="",G116,H116)</f>
        <v>17563.468795765948</v>
      </c>
      <c r="J116" s="244" t="s">
        <v>135</v>
      </c>
      <c r="K116" s="46">
        <f>I116*C116</f>
        <v>0</v>
      </c>
      <c r="L116" s="73"/>
    </row>
    <row r="117" spans="2:12" ht="13">
      <c r="B117" s="38" t="s">
        <v>259</v>
      </c>
      <c r="C117" s="67"/>
      <c r="D117" s="244" t="s">
        <v>135</v>
      </c>
      <c r="E117" s="74" t="s">
        <v>260</v>
      </c>
      <c r="F117" s="77" t="s">
        <v>217</v>
      </c>
      <c r="G117" s="39" cm="1">
        <f t="array" ref="G117">_xlfn.XLOOKUP(1,('Cost Schedule'!$B$6:$B$14=Solar!E117)*('Cost Schedule'!$A$6:$A$14=Solar!F117),'Cost Schedule'!$C$6:$C$14)</f>
        <v>14555.026555463435</v>
      </c>
      <c r="H117" s="72"/>
      <c r="I117" s="40">
        <f>IF(H117="",G117,H117)</f>
        <v>14555.026555463435</v>
      </c>
      <c r="J117" s="244" t="s">
        <v>135</v>
      </c>
      <c r="K117" s="46">
        <f>I117*C117</f>
        <v>0</v>
      </c>
      <c r="L117" s="73"/>
    </row>
    <row r="118" spans="2:12">
      <c r="C118" s="289"/>
      <c r="I118" s="287"/>
      <c r="L118" s="70"/>
    </row>
    <row r="119" spans="2:12" ht="13">
      <c r="B119" s="256" t="str">
        <f>B$21</f>
        <v>Totals</v>
      </c>
      <c r="C119" s="290">
        <f>SUM(C115:C118)</f>
        <v>0</v>
      </c>
      <c r="D119" s="244" t="s">
        <v>135</v>
      </c>
      <c r="H119" s="270" t="s">
        <v>261</v>
      </c>
      <c r="I119" s="40">
        <f>IF(C119=0,0,K119/C119)</f>
        <v>0</v>
      </c>
      <c r="J119" s="271" t="s">
        <v>241</v>
      </c>
      <c r="K119" s="44">
        <f>SUM(K115:K118)</f>
        <v>0</v>
      </c>
      <c r="L119" s="73"/>
    </row>
    <row r="120" spans="2:12">
      <c r="L120" s="70"/>
    </row>
    <row r="121" spans="2:12" ht="13">
      <c r="B121" s="222" t="s">
        <v>262</v>
      </c>
      <c r="C121" s="222"/>
      <c r="D121" s="222"/>
      <c r="E121" s="222"/>
      <c r="F121" s="222"/>
      <c r="G121" s="222"/>
      <c r="H121" s="222"/>
      <c r="I121" s="222"/>
      <c r="J121" s="222"/>
      <c r="K121" s="222"/>
      <c r="L121" s="222"/>
    </row>
    <row r="122" spans="2:12" ht="25">
      <c r="B122" s="266" t="s">
        <v>141</v>
      </c>
      <c r="C122" s="267" t="s">
        <v>142</v>
      </c>
      <c r="D122" s="267" t="s">
        <v>82</v>
      </c>
      <c r="E122" s="269" t="s">
        <v>152</v>
      </c>
      <c r="F122" s="269"/>
      <c r="G122" s="268" t="s">
        <v>81</v>
      </c>
      <c r="H122" s="268" t="s">
        <v>143</v>
      </c>
      <c r="I122" s="268" t="s">
        <v>144</v>
      </c>
      <c r="J122" s="268" t="s">
        <v>145</v>
      </c>
      <c r="K122" s="268" t="s">
        <v>146</v>
      </c>
      <c r="L122" s="92" t="s">
        <v>263</v>
      </c>
    </row>
    <row r="123" spans="2:12" ht="15" customHeight="1">
      <c r="B123" s="38" t="s">
        <v>264</v>
      </c>
      <c r="C123" s="67"/>
      <c r="D123" s="263" t="str">
        <f>_xlfn.XLOOKUP($E123,'Cost Schedule'!$B$30:$B$34,'Cost Schedule'!$D$30:$D$34)</f>
        <v>m2</v>
      </c>
      <c r="E123" s="74" t="s">
        <v>265</v>
      </c>
      <c r="F123" s="276"/>
      <c r="G123" s="39">
        <f>_xlfn.XLOOKUP($E123,'Cost Schedule'!$B$30:$B$34,'Cost Schedule'!$C$30:$C$34)</f>
        <v>130.34119174820927</v>
      </c>
      <c r="H123" s="72"/>
      <c r="I123" s="40">
        <f>IF(H123="",G123,H123)</f>
        <v>130.34119174820927</v>
      </c>
      <c r="J123" s="263" t="str">
        <f>D123</f>
        <v>m2</v>
      </c>
      <c r="K123" s="46">
        <f>I123*C123</f>
        <v>0</v>
      </c>
      <c r="L123" s="73"/>
    </row>
    <row r="124" spans="2:12" ht="15" customHeight="1">
      <c r="B124" s="38" t="s">
        <v>266</v>
      </c>
      <c r="C124" s="67"/>
      <c r="D124" s="263" t="str">
        <f>_xlfn.XLOOKUP($E124,'Cost Schedule'!$B$30:$B$34,'Cost Schedule'!$D$30:$D$34)</f>
        <v>m2</v>
      </c>
      <c r="E124" s="74" t="s">
        <v>267</v>
      </c>
      <c r="F124" s="276"/>
      <c r="G124" s="39">
        <f>_xlfn.XLOOKUP($E124,'Cost Schedule'!$B$30:$B$34,'Cost Schedule'!$C$30:$C$34)</f>
        <v>65.831315749844336</v>
      </c>
      <c r="H124" s="72"/>
      <c r="I124" s="40">
        <f t="shared" ref="I124:I127" si="10">IF(H124="",G124,H124)</f>
        <v>65.831315749844336</v>
      </c>
      <c r="J124" s="263" t="str">
        <f t="shared" ref="J124:J127" si="11">D124</f>
        <v>m2</v>
      </c>
      <c r="K124" s="46">
        <f>I124*C124</f>
        <v>0</v>
      </c>
      <c r="L124" s="70"/>
    </row>
    <row r="125" spans="2:12" ht="15" customHeight="1">
      <c r="B125" s="38" t="s">
        <v>268</v>
      </c>
      <c r="C125" s="67"/>
      <c r="D125" s="263" t="str">
        <f>_xlfn.XLOOKUP($E125,'Cost Schedule'!$B$30:$B$34,'Cost Schedule'!$D$30:$D$34)</f>
        <v>m2</v>
      </c>
      <c r="E125" s="74" t="s">
        <v>269</v>
      </c>
      <c r="F125" s="276"/>
      <c r="G125" s="39">
        <f>_xlfn.XLOOKUP($E125,'Cost Schedule'!$B$30:$B$34,'Cost Schedule'!$C$30:$C$34)</f>
        <v>57.775533127992965</v>
      </c>
      <c r="H125" s="72"/>
      <c r="I125" s="40">
        <f t="shared" si="10"/>
        <v>57.775533127992965</v>
      </c>
      <c r="J125" s="263" t="str">
        <f t="shared" si="11"/>
        <v>m2</v>
      </c>
      <c r="K125" s="46">
        <f>I125*C125</f>
        <v>0</v>
      </c>
      <c r="L125" s="73"/>
    </row>
    <row r="126" spans="2:12" ht="15" customHeight="1">
      <c r="B126" s="38" t="s">
        <v>270</v>
      </c>
      <c r="C126" s="67"/>
      <c r="D126" s="263" t="str">
        <f>_xlfn.XLOOKUP($E126,'Cost Schedule'!$B$30:$B$34,'Cost Schedule'!$D$30:$D$34)</f>
        <v>m2</v>
      </c>
      <c r="E126" s="74" t="s">
        <v>271</v>
      </c>
      <c r="F126" s="276"/>
      <c r="G126" s="39">
        <f>_xlfn.XLOOKUP($E126,'Cost Schedule'!$B$30:$B$34,'Cost Schedule'!$C$30:$C$34)</f>
        <v>182.24173485583563</v>
      </c>
      <c r="H126" s="72"/>
      <c r="I126" s="40">
        <f t="shared" si="10"/>
        <v>182.24173485583563</v>
      </c>
      <c r="J126" s="263" t="str">
        <f t="shared" si="11"/>
        <v>m2</v>
      </c>
      <c r="K126" s="46">
        <f>I126*C126</f>
        <v>0</v>
      </c>
      <c r="L126" s="70"/>
    </row>
    <row r="127" spans="2:12" ht="15" customHeight="1">
      <c r="B127" s="38" t="s">
        <v>272</v>
      </c>
      <c r="C127" s="67"/>
      <c r="D127" s="263" t="str">
        <f>_xlfn.XLOOKUP($E127,'Cost Schedule'!$B$30:$B$34,'Cost Schedule'!$D$30:$D$34)</f>
        <v>m2-floor</v>
      </c>
      <c r="E127" s="74" t="s">
        <v>273</v>
      </c>
      <c r="F127" s="276"/>
      <c r="G127" s="39">
        <f>_xlfn.XLOOKUP($E127,'Cost Schedule'!$B$30:$B$34,'Cost Schedule'!$C$30:$C$34)</f>
        <v>57.05767457349878</v>
      </c>
      <c r="H127" s="72"/>
      <c r="I127" s="40">
        <f t="shared" si="10"/>
        <v>57.05767457349878</v>
      </c>
      <c r="J127" s="263" t="str">
        <f t="shared" si="11"/>
        <v>m2-floor</v>
      </c>
      <c r="K127" s="46">
        <f>I127*C127</f>
        <v>0</v>
      </c>
      <c r="L127" s="73"/>
    </row>
    <row r="128" spans="2:12">
      <c r="C128" s="289"/>
      <c r="L128" s="73"/>
    </row>
    <row r="129" spans="2:12" ht="13">
      <c r="B129" s="256" t="str">
        <f>B$21</f>
        <v>Totals</v>
      </c>
      <c r="C129" s="290">
        <f>SUM(C122:C128)</f>
        <v>0</v>
      </c>
      <c r="D129" s="244" t="s">
        <v>274</v>
      </c>
      <c r="H129" s="270" t="s">
        <v>275</v>
      </c>
      <c r="I129" s="40">
        <f>IF(C129=0,0,K129/C129)</f>
        <v>0</v>
      </c>
      <c r="J129" s="271" t="s">
        <v>276</v>
      </c>
      <c r="K129" s="44">
        <f>SUM(K122:K128)</f>
        <v>0</v>
      </c>
      <c r="L129" s="73"/>
    </row>
    <row r="130" spans="2:12">
      <c r="L130" s="70"/>
    </row>
    <row r="131" spans="2:12" ht="13">
      <c r="B131" s="222" t="s">
        <v>277</v>
      </c>
      <c r="C131" s="222"/>
      <c r="D131" s="222"/>
      <c r="E131" s="222"/>
      <c r="F131" s="222"/>
      <c r="G131" s="222"/>
      <c r="H131" s="222"/>
      <c r="I131" s="222"/>
      <c r="J131" s="222"/>
      <c r="K131" s="222"/>
      <c r="L131" s="222"/>
    </row>
    <row r="132" spans="2:12" ht="13">
      <c r="B132" s="266" t="s">
        <v>141</v>
      </c>
      <c r="C132" s="267" t="s">
        <v>142</v>
      </c>
      <c r="D132" s="267" t="s">
        <v>82</v>
      </c>
      <c r="E132" s="269" t="s">
        <v>152</v>
      </c>
      <c r="F132" s="269"/>
      <c r="G132" s="268" t="s">
        <v>81</v>
      </c>
      <c r="H132" s="268" t="s">
        <v>143</v>
      </c>
      <c r="I132" s="268" t="s">
        <v>144</v>
      </c>
      <c r="J132" s="268" t="s">
        <v>145</v>
      </c>
      <c r="K132" s="268" t="s">
        <v>146</v>
      </c>
      <c r="L132" s="70"/>
    </row>
    <row r="133" spans="2:12" ht="14.25" customHeight="1">
      <c r="B133" s="38" t="s">
        <v>278</v>
      </c>
      <c r="C133" s="71"/>
      <c r="D133" s="263" t="str">
        <f>_xlfn.XLOOKUP($E133,'Cost Schedule'!$B$37:$B$40,'Cost Schedule'!$D$37:$D$40)</f>
        <v>building</v>
      </c>
      <c r="E133" s="78" t="s">
        <v>279</v>
      </c>
      <c r="F133" s="276"/>
      <c r="G133" s="39">
        <f>_xlfn.XLOOKUP(E133,'Cost Schedule'!$B$37:$B$40,'Cost Schedule'!$C$37:$C$40)</f>
        <v>1883.512891943768</v>
      </c>
      <c r="H133" s="72"/>
      <c r="I133" s="40">
        <f>IF(H133="",G133,H133)</f>
        <v>1883.512891943768</v>
      </c>
      <c r="J133" s="263" t="str">
        <f>D133</f>
        <v>building</v>
      </c>
      <c r="K133" s="46">
        <f>I133*C133</f>
        <v>0</v>
      </c>
      <c r="L133" s="73"/>
    </row>
    <row r="134" spans="2:12" ht="14.25" customHeight="1">
      <c r="B134" s="38" t="s">
        <v>280</v>
      </c>
      <c r="C134" s="71"/>
      <c r="D134" s="263" t="str">
        <f>_xlfn.XLOOKUP($E134,'Cost Schedule'!$B$37:$B$40,'Cost Schedule'!$D$37:$D$40)</f>
        <v>building</v>
      </c>
      <c r="E134" s="78" t="s">
        <v>281</v>
      </c>
      <c r="F134" s="276"/>
      <c r="G134" s="39">
        <f>_xlfn.XLOOKUP(E134,'Cost Schedule'!$B$37:$B$40,'Cost Schedule'!$C$37:$C$40)</f>
        <v>1243.9588072170536</v>
      </c>
      <c r="H134" s="72"/>
      <c r="I134" s="40">
        <f>IF(H134="",G134,H134)</f>
        <v>1243.9588072170536</v>
      </c>
      <c r="J134" s="263" t="str">
        <f t="shared" ref="J134:J137" si="12">D134</f>
        <v>building</v>
      </c>
      <c r="K134" s="46">
        <f>I134*C134</f>
        <v>0</v>
      </c>
      <c r="L134" s="70"/>
    </row>
    <row r="135" spans="2:12" ht="14.25" customHeight="1">
      <c r="B135" s="38" t="s">
        <v>282</v>
      </c>
      <c r="C135" s="71"/>
      <c r="D135" s="263" t="str">
        <f>_xlfn.XLOOKUP($E135,'Cost Schedule'!$B$37:$B$40,'Cost Schedule'!$D$37:$D$40)</f>
        <v>building</v>
      </c>
      <c r="E135" s="78" t="s">
        <v>283</v>
      </c>
      <c r="F135" s="276"/>
      <c r="G135" s="39">
        <f>_xlfn.XLOOKUP(E135,'Cost Schedule'!$B$37:$B$40,'Cost Schedule'!$C$37:$C$40)</f>
        <v>10251.77359535745</v>
      </c>
      <c r="H135" s="72"/>
      <c r="I135" s="40">
        <f>IF(H135="",G135,H135)</f>
        <v>10251.77359535745</v>
      </c>
      <c r="J135" s="263" t="str">
        <f t="shared" si="12"/>
        <v>building</v>
      </c>
      <c r="K135" s="46">
        <f>I135*C135</f>
        <v>0</v>
      </c>
      <c r="L135" s="73"/>
    </row>
    <row r="136" spans="2:12" ht="14.25" customHeight="1">
      <c r="B136" s="38" t="s">
        <v>284</v>
      </c>
      <c r="C136" s="71"/>
      <c r="D136" s="263" t="str">
        <f>_xlfn.XLOOKUP($E136,'Cost Schedule'!$B$37:$B$40,'Cost Schedule'!$D$37:$D$40)</f>
        <v>building</v>
      </c>
      <c r="E136" s="78" t="s">
        <v>285</v>
      </c>
      <c r="F136" s="276"/>
      <c r="G136" s="39">
        <f>_xlfn.XLOOKUP(E136,'Cost Schedule'!$B$37:$B$40,'Cost Schedule'!$C$37:$C$40)</f>
        <v>7015.0882772529176</v>
      </c>
      <c r="H136" s="72"/>
      <c r="I136" s="40">
        <f>IF(H136="",G136,H136)</f>
        <v>7015.0882772529176</v>
      </c>
      <c r="J136" s="263" t="str">
        <f t="shared" si="12"/>
        <v>building</v>
      </c>
      <c r="K136" s="46">
        <f>I136*C136</f>
        <v>0</v>
      </c>
      <c r="L136" s="70"/>
    </row>
    <row r="137" spans="2:12" ht="14.25" customHeight="1">
      <c r="B137" s="38" t="s">
        <v>286</v>
      </c>
      <c r="C137" s="71"/>
      <c r="D137" s="263" t="str">
        <f>_xlfn.XLOOKUP($E137,'Cost Schedule'!$B$37:$B$40,'Cost Schedule'!$D$37:$D$40)</f>
        <v>building</v>
      </c>
      <c r="E137" s="78" t="s">
        <v>279</v>
      </c>
      <c r="F137" s="276"/>
      <c r="G137" s="39">
        <f>_xlfn.XLOOKUP(E137,'Cost Schedule'!$B$37:$B$40,'Cost Schedule'!$C$37:$C$40)</f>
        <v>1883.512891943768</v>
      </c>
      <c r="H137" s="72"/>
      <c r="I137" s="40">
        <f>IF(H137="",G137,H137)</f>
        <v>1883.512891943768</v>
      </c>
      <c r="J137" s="263" t="str">
        <f t="shared" si="12"/>
        <v>building</v>
      </c>
      <c r="K137" s="46">
        <f>I137*C137</f>
        <v>0</v>
      </c>
      <c r="L137" s="73"/>
    </row>
    <row r="138" spans="2:12" ht="13">
      <c r="C138" s="292"/>
      <c r="F138" s="269"/>
      <c r="L138" s="70"/>
    </row>
    <row r="139" spans="2:12" ht="13">
      <c r="B139" s="256" t="str">
        <f>B$21</f>
        <v>Totals</v>
      </c>
      <c r="C139" s="283">
        <f>SUM(C132:C138)</f>
        <v>0</v>
      </c>
      <c r="D139" s="244" t="s">
        <v>287</v>
      </c>
      <c r="H139" s="270" t="s">
        <v>275</v>
      </c>
      <c r="I139" s="40">
        <f>IF(C139=0,0,K139/C139)</f>
        <v>0</v>
      </c>
      <c r="J139" s="271" t="s">
        <v>288</v>
      </c>
      <c r="K139" s="44">
        <f>SUM(K132:K138)</f>
        <v>0</v>
      </c>
      <c r="L139" s="73"/>
    </row>
    <row r="140" spans="2:12">
      <c r="L140" s="70"/>
    </row>
    <row r="141" spans="2:12" ht="13">
      <c r="B141" s="222" t="s">
        <v>289</v>
      </c>
      <c r="C141" s="222"/>
      <c r="D141" s="222"/>
      <c r="E141" s="222"/>
      <c r="F141" s="222"/>
      <c r="G141" s="222"/>
      <c r="H141" s="222"/>
      <c r="I141" s="222"/>
      <c r="J141" s="222"/>
      <c r="K141" s="222"/>
      <c r="L141" s="222"/>
    </row>
    <row r="142" spans="2:12" ht="13">
      <c r="B142" s="266" t="s">
        <v>141</v>
      </c>
      <c r="C142" s="267" t="s">
        <v>142</v>
      </c>
      <c r="D142" s="267" t="s">
        <v>82</v>
      </c>
      <c r="E142" s="269" t="s">
        <v>152</v>
      </c>
      <c r="F142" s="269"/>
      <c r="G142" s="268" t="s">
        <v>81</v>
      </c>
      <c r="H142" s="268" t="s">
        <v>143</v>
      </c>
      <c r="I142" s="268" t="s">
        <v>144</v>
      </c>
      <c r="J142" s="268" t="s">
        <v>145</v>
      </c>
      <c r="K142" s="268" t="s">
        <v>146</v>
      </c>
      <c r="L142" s="70"/>
    </row>
    <row r="143" spans="2:12" ht="13">
      <c r="B143" s="38" t="s">
        <v>290</v>
      </c>
      <c r="C143" s="67"/>
      <c r="D143" s="244" t="s">
        <v>135</v>
      </c>
      <c r="G143" s="293"/>
      <c r="H143" s="268"/>
      <c r="I143" s="268"/>
      <c r="J143" s="268"/>
      <c r="K143" s="268"/>
      <c r="L143" s="73"/>
    </row>
    <row r="144" spans="2:12" ht="13">
      <c r="B144" s="38" t="s">
        <v>291</v>
      </c>
      <c r="C144" s="67"/>
      <c r="D144" s="244" t="s">
        <v>135</v>
      </c>
      <c r="G144" s="293"/>
      <c r="H144" s="268"/>
      <c r="I144" s="268"/>
      <c r="J144" s="268"/>
      <c r="K144" s="268"/>
      <c r="L144" s="73"/>
    </row>
    <row r="145" spans="2:12" ht="13">
      <c r="B145" s="38" t="s">
        <v>292</v>
      </c>
      <c r="C145" s="67"/>
      <c r="D145" s="244" t="s">
        <v>135</v>
      </c>
      <c r="G145" s="293"/>
      <c r="H145" s="268"/>
      <c r="I145" s="268"/>
      <c r="J145" s="268"/>
      <c r="K145" s="268"/>
      <c r="L145" s="73"/>
    </row>
    <row r="146" spans="2:12" ht="13">
      <c r="B146" s="38" t="s">
        <v>293</v>
      </c>
      <c r="C146" s="67"/>
      <c r="D146" s="244" t="s">
        <v>135</v>
      </c>
      <c r="G146" s="293"/>
      <c r="H146" s="268"/>
      <c r="I146" s="268"/>
      <c r="J146" s="268"/>
      <c r="K146" s="268"/>
      <c r="L146" s="73"/>
    </row>
    <row r="147" spans="2:12" ht="13">
      <c r="B147" s="38" t="s">
        <v>294</v>
      </c>
      <c r="C147" s="67"/>
      <c r="D147" s="244" t="s">
        <v>135</v>
      </c>
      <c r="G147" s="293"/>
      <c r="H147" s="268"/>
      <c r="I147" s="268"/>
      <c r="J147" s="268"/>
      <c r="K147" s="268"/>
      <c r="L147" s="73"/>
    </row>
    <row r="148" spans="2:12" ht="13">
      <c r="B148" s="38" t="s">
        <v>295</v>
      </c>
      <c r="C148" s="294">
        <f>SUM(C143:C147)</f>
        <v>0</v>
      </c>
      <c r="D148" s="244" t="s">
        <v>135</v>
      </c>
      <c r="G148" s="268"/>
      <c r="H148" s="268"/>
      <c r="I148" s="268"/>
      <c r="J148" s="268"/>
      <c r="K148" s="268"/>
      <c r="L148" s="73"/>
    </row>
    <row r="149" spans="2:12" ht="13">
      <c r="B149" s="38" t="s">
        <v>296</v>
      </c>
      <c r="C149" s="79">
        <v>1</v>
      </c>
      <c r="G149" s="268"/>
      <c r="H149" s="268"/>
      <c r="I149" s="268"/>
      <c r="J149" s="268"/>
      <c r="K149" s="268"/>
      <c r="L149" s="70"/>
    </row>
    <row r="150" spans="2:12" ht="13">
      <c r="B150" s="38" t="s">
        <v>297</v>
      </c>
      <c r="C150" s="295">
        <f>C149*C148</f>
        <v>0</v>
      </c>
      <c r="D150" s="244" t="s">
        <v>135</v>
      </c>
      <c r="G150" s="268"/>
      <c r="H150" s="268"/>
      <c r="I150" s="268"/>
      <c r="J150" s="268"/>
      <c r="K150" s="268"/>
      <c r="L150" s="73"/>
    </row>
    <row r="151" spans="2:12" ht="13">
      <c r="B151" s="38" t="s">
        <v>298</v>
      </c>
      <c r="C151" s="296">
        <f>Growth_media_thickness</f>
        <v>0.15</v>
      </c>
      <c r="D151" s="244" t="s">
        <v>299</v>
      </c>
      <c r="G151" s="268"/>
      <c r="H151" s="268"/>
      <c r="I151" s="268"/>
      <c r="J151" s="268"/>
      <c r="K151" s="268"/>
      <c r="L151" s="70"/>
    </row>
    <row r="152" spans="2:12" ht="13">
      <c r="B152" s="38" t="s">
        <v>300</v>
      </c>
      <c r="C152" s="75"/>
      <c r="D152" s="244" t="s">
        <v>299</v>
      </c>
      <c r="G152" s="293"/>
      <c r="H152" s="268"/>
      <c r="I152" s="268"/>
      <c r="J152" s="268"/>
      <c r="K152" s="268"/>
      <c r="L152" s="73"/>
    </row>
    <row r="153" spans="2:12" ht="13">
      <c r="B153" s="15" t="s">
        <v>301</v>
      </c>
      <c r="C153" s="290">
        <f>C150*Square_metres_in_hectare*IF(C152=0,C151,C152)</f>
        <v>0</v>
      </c>
      <c r="D153" s="244" t="s">
        <v>302</v>
      </c>
      <c r="G153" s="268"/>
      <c r="H153" s="268"/>
      <c r="I153" s="268"/>
      <c r="J153" s="268"/>
      <c r="K153" s="268"/>
      <c r="L153" s="70"/>
    </row>
    <row r="154" spans="2:12" ht="13">
      <c r="B154" s="15" t="s">
        <v>303</v>
      </c>
      <c r="C154" s="79">
        <v>0</v>
      </c>
      <c r="G154" s="293" t="s">
        <v>304</v>
      </c>
      <c r="H154" s="268"/>
      <c r="I154" s="268"/>
      <c r="J154" s="268"/>
      <c r="K154" s="268"/>
      <c r="L154" s="73"/>
    </row>
    <row r="155" spans="2:12" ht="25">
      <c r="B155" s="15" t="s">
        <v>305</v>
      </c>
      <c r="C155" s="290">
        <f>C153*C154</f>
        <v>0</v>
      </c>
      <c r="D155" s="244" t="s">
        <v>302</v>
      </c>
      <c r="E155" s="70" t="s">
        <v>306</v>
      </c>
      <c r="G155" s="48">
        <f>_xlfn.XLOOKUP(E155,Load_haul_dump_growth_media_onsite_names_UR,Load_haul_dump_growth_media_onsite_rates_UR)</f>
        <v>5.9924787620142368</v>
      </c>
      <c r="H155" s="72"/>
      <c r="I155" s="49">
        <f>IF(H155="",G155,H155)</f>
        <v>5.9924787620142368</v>
      </c>
      <c r="J155" s="244" t="s">
        <v>302</v>
      </c>
      <c r="K155" s="46">
        <f>I155*C155</f>
        <v>0</v>
      </c>
      <c r="L155" s="70"/>
    </row>
    <row r="156" spans="2:12" ht="13">
      <c r="B156" s="15" t="s">
        <v>307</v>
      </c>
      <c r="C156" s="290">
        <f>C153-C155</f>
        <v>0</v>
      </c>
      <c r="D156" s="244" t="s">
        <v>302</v>
      </c>
      <c r="G156" s="48">
        <f>Top_soil_rate</f>
        <v>165</v>
      </c>
      <c r="H156" s="72"/>
      <c r="I156" s="49">
        <f>IF(H156="",G156,H156)</f>
        <v>165</v>
      </c>
      <c r="J156" s="244" t="s">
        <v>302</v>
      </c>
      <c r="K156" s="46">
        <f>I156*C156</f>
        <v>0</v>
      </c>
      <c r="L156" s="73"/>
    </row>
    <row r="157" spans="2:12" ht="13">
      <c r="B157" s="15" t="s">
        <v>308</v>
      </c>
      <c r="C157" s="290">
        <f>C156*_xlfn.XLOOKUP(E157,Load_haul_dump_soil_ameliorants_from_off_site_names_UR,Load_haul_dump_growth_media_distance_avg)</f>
        <v>0</v>
      </c>
      <c r="D157" s="244" t="s">
        <v>309</v>
      </c>
      <c r="E157" s="77" t="s">
        <v>310</v>
      </c>
      <c r="G157" s="48">
        <f>_xlfn.XLOOKUP(E157,Load_haul_dump_soil_ameliorants_from_off_site_names_UR,Load_haul_dump_soil_ameliorants_from_off_site_rates_UR)</f>
        <v>0.42336494510658307</v>
      </c>
      <c r="H157" s="72"/>
      <c r="I157" s="49">
        <f>IF(H157="",G157,H157)</f>
        <v>0.42336494510658307</v>
      </c>
      <c r="J157" s="244" t="str">
        <f>D157</f>
        <v>m3-km</v>
      </c>
      <c r="K157" s="46">
        <f>I157*C157</f>
        <v>0</v>
      </c>
      <c r="L157" s="70"/>
    </row>
    <row r="158" spans="2:12">
      <c r="C158" s="289"/>
      <c r="L158" s="73"/>
    </row>
    <row r="159" spans="2:12" ht="13">
      <c r="B159" s="256" t="str">
        <f>B$21</f>
        <v>Totals</v>
      </c>
      <c r="C159" s="290">
        <f>C150</f>
        <v>0</v>
      </c>
      <c r="D159" s="244" t="s">
        <v>135</v>
      </c>
      <c r="H159" s="270" t="s">
        <v>311</v>
      </c>
      <c r="I159" s="40">
        <f>IF(C159=0,0,K159/C159)</f>
        <v>0</v>
      </c>
      <c r="J159" s="271" t="s">
        <v>241</v>
      </c>
      <c r="K159" s="36">
        <f>SUM(K142:K158)</f>
        <v>0</v>
      </c>
      <c r="L159" s="70"/>
    </row>
    <row r="160" spans="2:12">
      <c r="L160" s="70"/>
    </row>
    <row r="161" spans="2:12" ht="13">
      <c r="B161" s="222" t="s">
        <v>312</v>
      </c>
      <c r="C161" s="222"/>
      <c r="D161" s="222"/>
      <c r="E161" s="222"/>
      <c r="F161" s="222"/>
      <c r="G161" s="222"/>
      <c r="H161" s="222"/>
      <c r="I161" s="222"/>
      <c r="J161" s="222"/>
      <c r="K161" s="222"/>
      <c r="L161" s="222"/>
    </row>
    <row r="162" spans="2:12" ht="13">
      <c r="B162" s="266" t="s">
        <v>141</v>
      </c>
      <c r="C162" s="267" t="s">
        <v>142</v>
      </c>
      <c r="D162" s="267" t="s">
        <v>82</v>
      </c>
      <c r="E162" s="269" t="s">
        <v>152</v>
      </c>
      <c r="F162" s="269"/>
      <c r="G162" s="268" t="s">
        <v>81</v>
      </c>
      <c r="H162" s="268" t="s">
        <v>143</v>
      </c>
      <c r="I162" s="268" t="s">
        <v>144</v>
      </c>
      <c r="J162" s="268" t="s">
        <v>145</v>
      </c>
      <c r="K162" s="268" t="s">
        <v>146</v>
      </c>
      <c r="L162" s="70"/>
    </row>
    <row r="163" spans="2:12" ht="13">
      <c r="B163" s="38" t="s">
        <v>290</v>
      </c>
      <c r="C163" s="67"/>
      <c r="D163" s="244" t="s">
        <v>135</v>
      </c>
      <c r="G163" s="293"/>
      <c r="H163" s="268"/>
      <c r="I163" s="268"/>
      <c r="J163" s="268"/>
      <c r="K163" s="268"/>
      <c r="L163" s="73"/>
    </row>
    <row r="164" spans="2:12" ht="13">
      <c r="B164" s="38" t="s">
        <v>291</v>
      </c>
      <c r="C164" s="67"/>
      <c r="D164" s="244" t="s">
        <v>135</v>
      </c>
      <c r="G164" s="293"/>
      <c r="H164" s="268"/>
      <c r="I164" s="268"/>
      <c r="J164" s="268"/>
      <c r="K164" s="268"/>
      <c r="L164" s="73"/>
    </row>
    <row r="165" spans="2:12" ht="13">
      <c r="B165" s="38" t="s">
        <v>292</v>
      </c>
      <c r="C165" s="67"/>
      <c r="D165" s="244" t="s">
        <v>135</v>
      </c>
      <c r="G165" s="293"/>
      <c r="H165" s="268"/>
      <c r="I165" s="268"/>
      <c r="J165" s="268"/>
      <c r="K165" s="268"/>
      <c r="L165" s="73"/>
    </row>
    <row r="166" spans="2:12" ht="13">
      <c r="B166" s="38" t="s">
        <v>293</v>
      </c>
      <c r="C166" s="67"/>
      <c r="D166" s="244" t="s">
        <v>135</v>
      </c>
      <c r="G166" s="293"/>
      <c r="H166" s="268"/>
      <c r="I166" s="268"/>
      <c r="J166" s="268"/>
      <c r="K166" s="268"/>
      <c r="L166" s="73"/>
    </row>
    <row r="167" spans="2:12" ht="13">
      <c r="B167" s="38" t="s">
        <v>294</v>
      </c>
      <c r="C167" s="67"/>
      <c r="D167" s="244" t="s">
        <v>135</v>
      </c>
      <c r="G167" s="293"/>
      <c r="H167" s="268"/>
      <c r="I167" s="268"/>
      <c r="J167" s="268"/>
      <c r="K167" s="268"/>
      <c r="L167" s="73"/>
    </row>
    <row r="168" spans="2:12" ht="13">
      <c r="B168" s="38" t="s">
        <v>295</v>
      </c>
      <c r="C168" s="294">
        <f>SUM(C163:C167)</f>
        <v>0</v>
      </c>
      <c r="D168" s="244" t="s">
        <v>135</v>
      </c>
      <c r="G168" s="267"/>
      <c r="H168" s="268"/>
      <c r="I168" s="268"/>
      <c r="J168" s="268"/>
      <c r="K168" s="268"/>
      <c r="L168" s="73"/>
    </row>
    <row r="169" spans="2:12" ht="13">
      <c r="B169" s="15" t="s">
        <v>313</v>
      </c>
      <c r="C169" s="79">
        <v>1</v>
      </c>
      <c r="D169" s="267"/>
      <c r="F169" s="268"/>
      <c r="G169" s="267"/>
      <c r="H169" s="268"/>
      <c r="I169" s="268"/>
      <c r="J169" s="268"/>
      <c r="K169" s="268"/>
      <c r="L169" s="70"/>
    </row>
    <row r="170" spans="2:12" ht="13">
      <c r="B170" s="15" t="s">
        <v>314</v>
      </c>
      <c r="C170" s="297">
        <f>C169*C168</f>
        <v>0</v>
      </c>
      <c r="D170" s="244" t="s">
        <v>135</v>
      </c>
      <c r="F170" s="268"/>
      <c r="G170" s="267"/>
      <c r="H170" s="268"/>
      <c r="I170" s="268"/>
      <c r="J170" s="268"/>
      <c r="K170" s="268"/>
      <c r="L170" s="73"/>
    </row>
    <row r="171" spans="2:12" ht="13">
      <c r="B171" s="15" t="s">
        <v>315</v>
      </c>
      <c r="C171" s="290">
        <f>_xlfn.XLOOKUP(E172,Ameliorants_soil_names_As,Ameliorants_app_rate)</f>
        <v>2.5</v>
      </c>
      <c r="D171" s="244" t="s">
        <v>316</v>
      </c>
      <c r="F171" s="268"/>
      <c r="G171" s="293" t="s">
        <v>304</v>
      </c>
      <c r="H171" s="268"/>
      <c r="I171" s="268"/>
      <c r="J171" s="268"/>
      <c r="K171" s="268"/>
      <c r="L171" s="70"/>
    </row>
    <row r="172" spans="2:12" ht="13">
      <c r="B172" s="15" t="s">
        <v>317</v>
      </c>
      <c r="C172" s="290">
        <f>C171*C170</f>
        <v>0</v>
      </c>
      <c r="D172" s="244" t="s">
        <v>318</v>
      </c>
      <c r="E172" s="77" t="s">
        <v>319</v>
      </c>
      <c r="F172" s="268"/>
      <c r="G172" s="48">
        <f>_xlfn.XLOOKUP(E172,Ameliorants_names,Ameliorants_rates)</f>
        <v>115.5</v>
      </c>
      <c r="H172" s="72"/>
      <c r="I172" s="49">
        <f>IF(H172="",G172,H172)</f>
        <v>115.5</v>
      </c>
      <c r="J172" s="244" t="str">
        <f>D172</f>
        <v>t</v>
      </c>
      <c r="K172" s="46">
        <f>I172*C172</f>
        <v>0</v>
      </c>
      <c r="L172" s="70"/>
    </row>
    <row r="173" spans="2:12" ht="13">
      <c r="B173" s="15" t="s">
        <v>320</v>
      </c>
      <c r="C173" s="290">
        <f>C172/Soil_density*_xlfn.XLOOKUP(E173,Load_haul_dump_soil_ameliorants_from_off_site_names_UR,Load_haul_dump_growth_media_distance_avg)</f>
        <v>0</v>
      </c>
      <c r="D173" s="244" t="s">
        <v>309</v>
      </c>
      <c r="E173" s="77" t="s">
        <v>321</v>
      </c>
      <c r="F173" s="268"/>
      <c r="G173" s="48">
        <f>_xlfn.XLOOKUP(E173,Load_haul_dump_soil_ameliorants_from_off_site_names_UR,Load_haul_dump_soil_ameliorants_from_off_site_rates_UR)</f>
        <v>0.26562499999999994</v>
      </c>
      <c r="H173" s="72"/>
      <c r="I173" s="49">
        <f>IF(H173="",G173,H173)</f>
        <v>0.26562499999999994</v>
      </c>
      <c r="J173" s="244" t="str">
        <f>D173</f>
        <v>m3-km</v>
      </c>
      <c r="K173" s="46">
        <f>I173*C173</f>
        <v>0</v>
      </c>
      <c r="L173" s="73"/>
    </row>
    <row r="174" spans="2:12" ht="13">
      <c r="B174" s="15" t="s">
        <v>322</v>
      </c>
      <c r="C174" s="290">
        <f>C170</f>
        <v>0</v>
      </c>
      <c r="D174" s="244" t="s">
        <v>135</v>
      </c>
      <c r="F174" s="268"/>
      <c r="G174" s="39">
        <f>_xlfn.XLOOKUP(E172,Ameliorants_names,Ameliorants_rates_UR)</f>
        <v>2494.1763427996943</v>
      </c>
      <c r="H174" s="72"/>
      <c r="I174" s="49">
        <f>IF(H174="",G174,H174)</f>
        <v>2494.1763427996943</v>
      </c>
      <c r="J174" s="244" t="str">
        <f>D174</f>
        <v>ha</v>
      </c>
      <c r="K174" s="46">
        <f>I174*C174</f>
        <v>0</v>
      </c>
      <c r="L174" s="73"/>
    </row>
    <row r="175" spans="2:12">
      <c r="C175" s="289"/>
      <c r="H175" s="244">
        <v>1</v>
      </c>
      <c r="L175" s="73"/>
    </row>
    <row r="176" spans="2:12" ht="13">
      <c r="B176" s="256" t="str">
        <f>B$21</f>
        <v>Totals</v>
      </c>
      <c r="C176" s="298">
        <f>C170</f>
        <v>0</v>
      </c>
      <c r="D176" s="244" t="s">
        <v>135</v>
      </c>
      <c r="F176" s="268"/>
      <c r="H176" s="270" t="s">
        <v>323</v>
      </c>
      <c r="I176" s="40">
        <f>IF(C176=0,0,K176/C176)</f>
        <v>0</v>
      </c>
      <c r="J176" s="271" t="s">
        <v>324</v>
      </c>
      <c r="K176" s="36">
        <f>SUM(K162:K175)</f>
        <v>0</v>
      </c>
      <c r="L176" s="70"/>
    </row>
    <row r="177" spans="2:12" ht="13">
      <c r="F177" s="268"/>
      <c r="H177" s="270"/>
      <c r="I177" s="55"/>
      <c r="L177" s="73"/>
    </row>
    <row r="178" spans="2:12" ht="13">
      <c r="B178" s="222" t="s">
        <v>325</v>
      </c>
      <c r="C178" s="222"/>
      <c r="D178" s="222"/>
      <c r="E178" s="222"/>
      <c r="F178" s="222"/>
      <c r="G178" s="222"/>
      <c r="H178" s="222"/>
      <c r="I178" s="222"/>
      <c r="J178" s="222"/>
      <c r="K178" s="222"/>
      <c r="L178" s="222"/>
    </row>
    <row r="179" spans="2:12" ht="13">
      <c r="B179" s="266" t="s">
        <v>141</v>
      </c>
      <c r="C179" s="267" t="s">
        <v>142</v>
      </c>
      <c r="D179" s="267" t="s">
        <v>82</v>
      </c>
      <c r="E179" s="269" t="s">
        <v>152</v>
      </c>
      <c r="F179" s="269"/>
      <c r="G179" s="268" t="s">
        <v>81</v>
      </c>
      <c r="H179" s="268" t="s">
        <v>143</v>
      </c>
      <c r="I179" s="268" t="s">
        <v>144</v>
      </c>
      <c r="J179" s="268" t="s">
        <v>145</v>
      </c>
      <c r="K179" s="268" t="s">
        <v>146</v>
      </c>
      <c r="L179" s="70"/>
    </row>
    <row r="180" spans="2:12" ht="13">
      <c r="B180" s="38" t="s">
        <v>290</v>
      </c>
      <c r="C180" s="67"/>
      <c r="D180" s="244" t="s">
        <v>135</v>
      </c>
      <c r="G180" s="293"/>
      <c r="H180" s="268"/>
      <c r="I180" s="268"/>
      <c r="J180" s="268"/>
      <c r="K180" s="268"/>
      <c r="L180" s="73"/>
    </row>
    <row r="181" spans="2:12" ht="13">
      <c r="B181" s="38" t="s">
        <v>291</v>
      </c>
      <c r="C181" s="67"/>
      <c r="D181" s="244" t="s">
        <v>135</v>
      </c>
      <c r="G181" s="293"/>
      <c r="H181" s="268"/>
      <c r="I181" s="268"/>
      <c r="J181" s="268"/>
      <c r="K181" s="268"/>
      <c r="L181" s="73"/>
    </row>
    <row r="182" spans="2:12" ht="13">
      <c r="B182" s="38" t="s">
        <v>292</v>
      </c>
      <c r="C182" s="67"/>
      <c r="D182" s="244" t="s">
        <v>135</v>
      </c>
      <c r="G182" s="293"/>
      <c r="H182" s="268"/>
      <c r="I182" s="268"/>
      <c r="J182" s="268"/>
      <c r="K182" s="268"/>
      <c r="L182" s="73"/>
    </row>
    <row r="183" spans="2:12" ht="13">
      <c r="B183" s="38" t="s">
        <v>293</v>
      </c>
      <c r="C183" s="67"/>
      <c r="D183" s="244" t="s">
        <v>135</v>
      </c>
      <c r="G183" s="293"/>
      <c r="H183" s="268"/>
      <c r="I183" s="268"/>
      <c r="J183" s="268"/>
      <c r="K183" s="268"/>
      <c r="L183" s="73"/>
    </row>
    <row r="184" spans="2:12" ht="13">
      <c r="B184" s="38" t="s">
        <v>294</v>
      </c>
      <c r="C184" s="67"/>
      <c r="D184" s="244" t="s">
        <v>135</v>
      </c>
      <c r="G184" s="293"/>
      <c r="H184" s="268"/>
      <c r="I184" s="268"/>
      <c r="J184" s="268"/>
      <c r="K184" s="268"/>
      <c r="L184" s="73"/>
    </row>
    <row r="185" spans="2:12" ht="13">
      <c r="B185" s="38" t="s">
        <v>295</v>
      </c>
      <c r="C185" s="294">
        <f>SUM(C180:C184)</f>
        <v>0</v>
      </c>
      <c r="D185" s="244" t="s">
        <v>135</v>
      </c>
      <c r="L185" s="73"/>
    </row>
    <row r="186" spans="2:12">
      <c r="B186" s="15" t="s">
        <v>326</v>
      </c>
      <c r="C186" s="79">
        <v>1</v>
      </c>
      <c r="L186" s="70"/>
    </row>
    <row r="187" spans="2:12" ht="13">
      <c r="B187" s="15" t="s">
        <v>327</v>
      </c>
      <c r="C187" s="297">
        <f>C186*C185</f>
        <v>0</v>
      </c>
      <c r="D187" s="244" t="s">
        <v>135</v>
      </c>
      <c r="E187" s="70" t="s">
        <v>328</v>
      </c>
      <c r="G187" s="39">
        <f>_xlfn.XLOOKUP(E187,Revegetation_names_UR,Revegetation_rates_UR)</f>
        <v>3436.7496736236071</v>
      </c>
      <c r="H187" s="72"/>
      <c r="I187" s="49">
        <f>IF(H187="",G187,H187)</f>
        <v>3436.7496736236071</v>
      </c>
      <c r="J187" s="244" t="s">
        <v>135</v>
      </c>
      <c r="K187" s="46">
        <f>I187*C187</f>
        <v>0</v>
      </c>
      <c r="L187" s="73"/>
    </row>
    <row r="188" spans="2:12">
      <c r="C188" s="289"/>
      <c r="L188" s="70"/>
    </row>
    <row r="189" spans="2:12" ht="13">
      <c r="B189" s="256" t="str">
        <f>B$21</f>
        <v>Totals</v>
      </c>
      <c r="C189" s="298">
        <f>C187</f>
        <v>0</v>
      </c>
      <c r="D189" s="244" t="s">
        <v>135</v>
      </c>
      <c r="G189" s="263"/>
      <c r="H189" s="280" t="s">
        <v>329</v>
      </c>
      <c r="I189" s="40">
        <f>IF(C189=0,0,K189/C189)</f>
        <v>0</v>
      </c>
      <c r="J189" s="271" t="s">
        <v>241</v>
      </c>
      <c r="K189" s="36">
        <f>SUM(K179:K188)</f>
        <v>0</v>
      </c>
      <c r="L189" s="70"/>
    </row>
    <row r="190" spans="2:12">
      <c r="L190" s="70"/>
    </row>
    <row r="191" spans="2:12" ht="13">
      <c r="B191" s="222" t="s">
        <v>330</v>
      </c>
      <c r="C191" s="222"/>
      <c r="D191" s="222"/>
      <c r="E191" s="222"/>
      <c r="F191" s="222"/>
      <c r="G191" s="222"/>
      <c r="H191" s="222"/>
      <c r="I191" s="222"/>
      <c r="J191" s="222"/>
      <c r="K191" s="222"/>
      <c r="L191" s="222"/>
    </row>
    <row r="192" spans="2:12" ht="13">
      <c r="B192" s="266" t="s">
        <v>141</v>
      </c>
      <c r="C192" s="267" t="s">
        <v>142</v>
      </c>
      <c r="D192" s="267" t="s">
        <v>82</v>
      </c>
      <c r="E192" s="269" t="s">
        <v>152</v>
      </c>
      <c r="F192" s="269"/>
      <c r="G192" s="268" t="s">
        <v>81</v>
      </c>
      <c r="H192" s="268" t="s">
        <v>143</v>
      </c>
      <c r="I192" s="268" t="s">
        <v>144</v>
      </c>
      <c r="J192" s="268" t="s">
        <v>145</v>
      </c>
      <c r="K192" s="268" t="s">
        <v>146</v>
      </c>
      <c r="L192" s="70"/>
    </row>
    <row r="193" spans="2:12">
      <c r="B193" s="38" t="s">
        <v>139</v>
      </c>
      <c r="C193" s="284">
        <f>C$14</f>
        <v>0</v>
      </c>
      <c r="D193" s="244" t="s">
        <v>206</v>
      </c>
      <c r="E193" s="299" t="str">
        <f>E$69</f>
        <v>Select make and model</v>
      </c>
      <c r="L193" s="73"/>
    </row>
    <row r="194" spans="2:12">
      <c r="B194" s="15" t="s">
        <v>331</v>
      </c>
      <c r="C194" s="56">
        <f>_xlfn.XLOOKUP(E195,Panels_haul_unload_names_UR,Panels_haul_unload_distance_avg)</f>
        <v>37.5</v>
      </c>
      <c r="D194" s="244" t="s">
        <v>155</v>
      </c>
      <c r="L194" s="73"/>
    </row>
    <row r="195" spans="2:12" ht="13">
      <c r="B195" s="15" t="s">
        <v>332</v>
      </c>
      <c r="C195" s="288">
        <f>C194*C193</f>
        <v>0</v>
      </c>
      <c r="D195" s="244" t="s">
        <v>208</v>
      </c>
      <c r="E195" s="77" t="s">
        <v>333</v>
      </c>
      <c r="G195" s="48">
        <f>_xlfn.XLOOKUP(E195,Panels_haul_unload_names_UR,Panels_haul_unload_rates_UR)</f>
        <v>8.7828299598722098E-2</v>
      </c>
      <c r="H195" s="72"/>
      <c r="I195" s="49">
        <f>IF(H195="",G195,H195)</f>
        <v>8.7828299598722098E-2</v>
      </c>
      <c r="J195" s="244" t="s">
        <v>208</v>
      </c>
      <c r="K195" s="46">
        <f>I195*C195</f>
        <v>0</v>
      </c>
      <c r="L195" s="73"/>
    </row>
    <row r="196" spans="2:12" ht="13">
      <c r="B196" s="57" t="s">
        <v>334</v>
      </c>
      <c r="C196" s="288">
        <f>C193</f>
        <v>0</v>
      </c>
      <c r="D196" s="244" t="s">
        <v>206</v>
      </c>
      <c r="E196" s="300" t="str">
        <f>Rates!B118</f>
        <v>Disposal (gate fee) - solar panel</v>
      </c>
      <c r="G196" s="48">
        <f>Rates!D118</f>
        <v>1.5</v>
      </c>
      <c r="H196" s="72"/>
      <c r="I196" s="49">
        <f>IF(H196="",G196,H196)</f>
        <v>1.5</v>
      </c>
      <c r="J196" s="244" t="s">
        <v>206</v>
      </c>
      <c r="K196" s="46">
        <f>I196*C196</f>
        <v>0</v>
      </c>
      <c r="L196" s="73"/>
    </row>
    <row r="197" spans="2:12" ht="13">
      <c r="B197" s="57" t="s">
        <v>336</v>
      </c>
      <c r="C197" s="290">
        <f>IF(C13=Panels!$B$6,0,(_xlfn.XLOOKUP(E193,Panels!B:B,Panels!C:C)/kilograms_in_tonnes)*C193)</f>
        <v>0</v>
      </c>
      <c r="D197" s="244" t="s">
        <v>318</v>
      </c>
      <c r="E197" s="77" t="s">
        <v>337</v>
      </c>
      <c r="G197" s="48">
        <f>_xlfn.XLOOKUP(E197,Waste_levy_names,Waste_levy_rates)</f>
        <v>85.5</v>
      </c>
      <c r="H197" s="72"/>
      <c r="I197" s="49">
        <f>IF(H197="",G197,H197)</f>
        <v>85.5</v>
      </c>
      <c r="J197" s="244" t="s">
        <v>318</v>
      </c>
      <c r="K197" s="46">
        <f>I197*C197</f>
        <v>0</v>
      </c>
      <c r="L197" s="70"/>
    </row>
    <row r="198" spans="2:12">
      <c r="C198" s="289"/>
      <c r="L198" s="73"/>
    </row>
    <row r="199" spans="2:12" ht="13">
      <c r="B199" s="256" t="str">
        <f>B$21</f>
        <v>Totals</v>
      </c>
      <c r="C199" s="301">
        <f>C193</f>
        <v>0</v>
      </c>
      <c r="D199" s="244" t="s">
        <v>92</v>
      </c>
      <c r="G199" s="263"/>
      <c r="H199" s="280" t="s">
        <v>338</v>
      </c>
      <c r="I199" s="49">
        <f>IF(C199=0,0,K199/C199)</f>
        <v>0</v>
      </c>
      <c r="J199" s="281" t="s">
        <v>211</v>
      </c>
      <c r="K199" s="36">
        <f>SUM(K192:K198)</f>
        <v>0</v>
      </c>
      <c r="L199" s="70"/>
    </row>
    <row r="200" spans="2:12">
      <c r="L200" s="70"/>
    </row>
    <row r="201" spans="2:12" ht="13">
      <c r="B201" s="222" t="s">
        <v>339</v>
      </c>
      <c r="C201" s="222"/>
      <c r="D201" s="222"/>
      <c r="E201" s="222"/>
      <c r="F201" s="222"/>
      <c r="G201" s="222"/>
      <c r="H201" s="222"/>
      <c r="I201" s="222"/>
      <c r="J201" s="222"/>
      <c r="K201" s="222"/>
      <c r="L201" s="222"/>
    </row>
    <row r="202" spans="2:12" ht="13">
      <c r="B202" s="266" t="s">
        <v>141</v>
      </c>
      <c r="C202" s="267" t="s">
        <v>142</v>
      </c>
      <c r="D202" s="267" t="s">
        <v>82</v>
      </c>
      <c r="E202" s="269" t="s">
        <v>152</v>
      </c>
      <c r="F202" s="269"/>
      <c r="G202" s="268" t="s">
        <v>81</v>
      </c>
      <c r="H202" s="268" t="s">
        <v>143</v>
      </c>
      <c r="I202" s="268" t="s">
        <v>144</v>
      </c>
      <c r="J202" s="268" t="s">
        <v>145</v>
      </c>
      <c r="K202" s="268" t="s">
        <v>146</v>
      </c>
      <c r="L202" s="70"/>
    </row>
    <row r="203" spans="2:12">
      <c r="B203" s="38" t="s">
        <v>139</v>
      </c>
      <c r="C203" s="284">
        <f>C$14</f>
        <v>0</v>
      </c>
      <c r="D203" s="244" t="s">
        <v>206</v>
      </c>
      <c r="E203" s="299" t="str">
        <f>E$69</f>
        <v>Select make and model</v>
      </c>
      <c r="L203" s="73"/>
    </row>
    <row r="204" spans="2:12">
      <c r="B204" s="15" t="s">
        <v>331</v>
      </c>
      <c r="C204" s="56">
        <f>_xlfn.XLOOKUP(E205,Panels_haul_unload_names_UR,Panels_haul_unload_distance_avg)</f>
        <v>65</v>
      </c>
      <c r="D204" s="244" t="s">
        <v>155</v>
      </c>
      <c r="L204" s="73"/>
    </row>
    <row r="205" spans="2:12" ht="13">
      <c r="B205" s="15" t="s">
        <v>332</v>
      </c>
      <c r="C205" s="288">
        <f>C204*C203</f>
        <v>0</v>
      </c>
      <c r="D205" s="244" t="s">
        <v>208</v>
      </c>
      <c r="E205" s="77" t="s">
        <v>340</v>
      </c>
      <c r="G205" s="48">
        <f>_xlfn.XLOOKUP(E205,Panels_haul_unload_names_UR,Panels_haul_unload_rates_UR)</f>
        <v>6.8470225401452728E-2</v>
      </c>
      <c r="H205" s="72"/>
      <c r="I205" s="49">
        <f>IF(H205="",G205,H205)</f>
        <v>6.8470225401452728E-2</v>
      </c>
      <c r="J205" s="244" t="s">
        <v>208</v>
      </c>
      <c r="K205" s="46">
        <f>I205*C205</f>
        <v>0</v>
      </c>
      <c r="L205" s="73"/>
    </row>
    <row r="206" spans="2:12" ht="13">
      <c r="B206" s="57" t="s">
        <v>334</v>
      </c>
      <c r="C206" s="288">
        <f>C203</f>
        <v>0</v>
      </c>
      <c r="D206" s="244" t="s">
        <v>206</v>
      </c>
      <c r="E206" s="300" t="str">
        <f>Rates!B119</f>
        <v>Recycling (gate fee) - solar panel</v>
      </c>
      <c r="G206" s="48">
        <f>Rates!D119</f>
        <v>27</v>
      </c>
      <c r="H206" s="72"/>
      <c r="I206" s="49">
        <f>IF(H206="",G206,H206)</f>
        <v>27</v>
      </c>
      <c r="J206" s="244" t="s">
        <v>206</v>
      </c>
      <c r="K206" s="46">
        <f>I206*C206</f>
        <v>0</v>
      </c>
      <c r="L206" s="73"/>
    </row>
    <row r="207" spans="2:12" ht="13">
      <c r="B207" s="57" t="s">
        <v>336</v>
      </c>
      <c r="C207" s="290">
        <f>IF(C13=Panels!$B$6,0,(_xlfn.XLOOKUP(E203,Panels!B:B,Panels!C:C)/kilograms_in_tonnes)*C203)</f>
        <v>0</v>
      </c>
      <c r="D207" s="244" t="s">
        <v>318</v>
      </c>
      <c r="E207" s="77" t="s">
        <v>342</v>
      </c>
      <c r="G207" s="48">
        <f>_xlfn.XLOOKUP(E207,Waste_levy_names,Waste_levy_rates)</f>
        <v>85.5</v>
      </c>
      <c r="H207" s="72"/>
      <c r="I207" s="49">
        <f>IF(H207="",G207,H207)</f>
        <v>85.5</v>
      </c>
      <c r="J207" s="244" t="s">
        <v>318</v>
      </c>
      <c r="K207" s="46">
        <f>I207*C207</f>
        <v>0</v>
      </c>
      <c r="L207" s="70"/>
    </row>
    <row r="208" spans="2:12">
      <c r="C208" s="289"/>
      <c r="L208" s="73"/>
    </row>
    <row r="209" spans="2:12" ht="13">
      <c r="B209" s="256" t="str">
        <f>B$21</f>
        <v>Totals</v>
      </c>
      <c r="C209" s="301">
        <f>C203</f>
        <v>0</v>
      </c>
      <c r="D209" s="244" t="s">
        <v>92</v>
      </c>
      <c r="G209" s="263"/>
      <c r="H209" s="280" t="s">
        <v>343</v>
      </c>
      <c r="I209" s="49">
        <f>IF(C209=0,0,K209/C209)</f>
        <v>0</v>
      </c>
      <c r="J209" s="281" t="s">
        <v>211</v>
      </c>
      <c r="K209" s="36">
        <f>SUM(K202:K208)</f>
        <v>0</v>
      </c>
      <c r="L209" s="70"/>
    </row>
    <row r="210" spans="2:12">
      <c r="L210" s="70"/>
    </row>
    <row r="211" spans="2:12" ht="13">
      <c r="B211" s="222" t="s">
        <v>344</v>
      </c>
      <c r="C211" s="222"/>
      <c r="D211" s="222"/>
      <c r="E211" s="222"/>
      <c r="F211" s="222"/>
      <c r="G211" s="222"/>
      <c r="H211" s="222"/>
      <c r="I211" s="222"/>
      <c r="J211" s="222"/>
      <c r="K211" s="222"/>
      <c r="L211" s="222"/>
    </row>
    <row r="212" spans="2:12" s="263" customFormat="1" ht="23.25" customHeight="1">
      <c r="B212" s="302" t="s">
        <v>141</v>
      </c>
      <c r="C212" s="303" t="s">
        <v>142</v>
      </c>
      <c r="D212" s="303" t="s">
        <v>82</v>
      </c>
      <c r="E212" s="303" t="s">
        <v>152</v>
      </c>
      <c r="F212" s="303"/>
      <c r="G212" s="304" t="s">
        <v>81</v>
      </c>
      <c r="H212" s="304" t="s">
        <v>143</v>
      </c>
      <c r="I212" s="304" t="s">
        <v>144</v>
      </c>
      <c r="J212" s="304" t="s">
        <v>145</v>
      </c>
      <c r="K212" s="304" t="s">
        <v>146</v>
      </c>
      <c r="L212" s="305" t="s">
        <v>345</v>
      </c>
    </row>
    <row r="213" spans="2:12" s="263" customFormat="1">
      <c r="B213" s="38" t="s">
        <v>346</v>
      </c>
      <c r="C213" s="67"/>
      <c r="D213" s="263" t="s">
        <v>274</v>
      </c>
      <c r="L213" s="82"/>
    </row>
    <row r="214" spans="2:12" s="263" customFormat="1">
      <c r="B214" s="38" t="s">
        <v>347</v>
      </c>
      <c r="C214" s="67"/>
      <c r="D214" s="263" t="s">
        <v>274</v>
      </c>
      <c r="L214" s="82"/>
    </row>
    <row r="215" spans="2:12" s="263" customFormat="1">
      <c r="B215" s="81" t="s">
        <v>348</v>
      </c>
      <c r="C215" s="67"/>
      <c r="D215" s="263" t="s">
        <v>274</v>
      </c>
      <c r="L215" s="82"/>
    </row>
    <row r="216" spans="2:12" s="263" customFormat="1">
      <c r="B216" s="81" t="s">
        <v>348</v>
      </c>
      <c r="C216" s="67"/>
      <c r="D216" s="263" t="s">
        <v>274</v>
      </c>
      <c r="L216" s="82"/>
    </row>
    <row r="217" spans="2:12" s="263" customFormat="1">
      <c r="B217" s="81" t="s">
        <v>348</v>
      </c>
      <c r="C217" s="67"/>
      <c r="D217" s="263" t="s">
        <v>274</v>
      </c>
      <c r="L217" s="82"/>
    </row>
    <row r="218" spans="2:12" s="263" customFormat="1" ht="13">
      <c r="B218" s="38" t="s">
        <v>349</v>
      </c>
      <c r="C218" s="294">
        <f>SUM(C213:C217)</f>
        <v>0</v>
      </c>
      <c r="D218" s="263" t="s">
        <v>274</v>
      </c>
      <c r="L218" s="82"/>
    </row>
    <row r="219" spans="2:12" s="263" customFormat="1">
      <c r="B219" s="15" t="s">
        <v>298</v>
      </c>
      <c r="C219" s="306">
        <f>Concrete_default_thickness</f>
        <v>0.2</v>
      </c>
      <c r="D219" s="263" t="s">
        <v>299</v>
      </c>
      <c r="L219" s="82"/>
    </row>
    <row r="220" spans="2:12" s="263" customFormat="1" ht="13">
      <c r="B220" s="15" t="s">
        <v>300</v>
      </c>
      <c r="C220" s="67"/>
      <c r="D220" s="263" t="s">
        <v>299</v>
      </c>
      <c r="E220" s="307" t="s">
        <v>350</v>
      </c>
      <c r="L220" s="82"/>
    </row>
    <row r="221" spans="2:12" s="263" customFormat="1" ht="13">
      <c r="B221" s="15" t="s">
        <v>351</v>
      </c>
      <c r="C221" s="67"/>
      <c r="D221" s="263" t="s">
        <v>302</v>
      </c>
      <c r="E221" s="307" t="s">
        <v>352</v>
      </c>
      <c r="L221" s="82"/>
    </row>
    <row r="222" spans="2:12" s="263" customFormat="1">
      <c r="B222" s="15" t="s">
        <v>353</v>
      </c>
      <c r="C222" s="298">
        <f>IF(C221=0,C218*IF(C220=0,C219,C220),C221)</f>
        <v>0</v>
      </c>
      <c r="D222" s="263" t="s">
        <v>302</v>
      </c>
      <c r="L222" s="82"/>
    </row>
    <row r="223" spans="2:12" s="263" customFormat="1" ht="25">
      <c r="B223" s="15" t="s">
        <v>354</v>
      </c>
      <c r="C223" s="298">
        <f>C222</f>
        <v>0</v>
      </c>
      <c r="D223" s="263" t="s">
        <v>302</v>
      </c>
      <c r="E223" s="76" t="s">
        <v>355</v>
      </c>
      <c r="G223" s="48">
        <f>_xlfn.XLOOKUP(E223,Load_haul_dump_concrete_onsite_names_UR,Load_haul_dump_concrete_onsite_rates_UR)</f>
        <v>4.0787824113810718</v>
      </c>
      <c r="H223" s="72"/>
      <c r="I223" s="49">
        <f>IF(H223="",G223,H223)</f>
        <v>4.0787824113810718</v>
      </c>
      <c r="J223" s="263" t="str">
        <f>D223</f>
        <v>m3</v>
      </c>
      <c r="K223" s="50">
        <f>I223*C223</f>
        <v>0</v>
      </c>
      <c r="L223" s="82"/>
    </row>
    <row r="224" spans="2:12" s="263" customFormat="1" ht="13">
      <c r="B224" s="15" t="s">
        <v>356</v>
      </c>
      <c r="C224" s="298">
        <f>C222*Concrete_density</f>
        <v>0</v>
      </c>
      <c r="D224" s="263" t="s">
        <v>318</v>
      </c>
      <c r="E224" s="76" t="s">
        <v>357</v>
      </c>
      <c r="G224" s="48">
        <f>_xlfn.XLOOKUP(E224,Concrete_crush_names_UR,Concrete_crush_rates_UR)</f>
        <v>11.347499195327906</v>
      </c>
      <c r="H224" s="72"/>
      <c r="I224" s="49">
        <f>IF(H224="",G224,H224)</f>
        <v>11.347499195327906</v>
      </c>
      <c r="J224" s="263" t="str">
        <f>D224</f>
        <v>t</v>
      </c>
      <c r="K224" s="50">
        <f>I224*C224</f>
        <v>0</v>
      </c>
      <c r="L224" s="82"/>
    </row>
    <row r="225" spans="2:12" s="263" customFormat="1" ht="25">
      <c r="B225" s="15" t="s">
        <v>358</v>
      </c>
      <c r="C225" s="298">
        <f>C222</f>
        <v>0</v>
      </c>
      <c r="D225" s="263" t="s">
        <v>302</v>
      </c>
      <c r="E225" s="76" t="s">
        <v>359</v>
      </c>
      <c r="G225" s="48">
        <f>_xlfn.XLOOKUP(E225,Load_haul_dump_concrete_onsite_names_UR,Load_haul_dump_concrete_onsite_rates_UR)</f>
        <v>4.1124294702046011</v>
      </c>
      <c r="H225" s="72"/>
      <c r="I225" s="49">
        <f>IF(H225="",G225,H225)</f>
        <v>4.1124294702046011</v>
      </c>
      <c r="J225" s="263" t="str">
        <f>D225</f>
        <v>m3</v>
      </c>
      <c r="K225" s="50">
        <f>I225*C225</f>
        <v>0</v>
      </c>
      <c r="L225" s="82"/>
    </row>
    <row r="226" spans="2:12" s="263" customFormat="1">
      <c r="C226" s="308"/>
      <c r="L226" s="82"/>
    </row>
    <row r="227" spans="2:12" s="263" customFormat="1" ht="13">
      <c r="B227" s="309" t="str">
        <f>B$21</f>
        <v>Totals</v>
      </c>
      <c r="C227" s="290">
        <f>C222</f>
        <v>0</v>
      </c>
      <c r="D227" s="263" t="s">
        <v>302</v>
      </c>
      <c r="H227" s="280" t="s">
        <v>360</v>
      </c>
      <c r="I227" s="58">
        <f>IF(C227=0,0,K227/C227)</f>
        <v>0</v>
      </c>
      <c r="J227" s="281" t="s">
        <v>361</v>
      </c>
      <c r="K227" s="44">
        <f>SUM(K212:K226)</f>
        <v>0</v>
      </c>
      <c r="L227" s="82"/>
    </row>
    <row r="228" spans="2:12" s="263" customFormat="1" ht="13">
      <c r="I228" s="58">
        <f>I227/Concrete_density</f>
        <v>0</v>
      </c>
      <c r="J228" s="281" t="s">
        <v>318</v>
      </c>
      <c r="L228" s="82"/>
    </row>
    <row r="229" spans="2:12">
      <c r="L229" s="70"/>
    </row>
    <row r="230" spans="2:12" ht="13">
      <c r="B230" s="222" t="s">
        <v>362</v>
      </c>
      <c r="C230" s="222"/>
      <c r="D230" s="222"/>
      <c r="E230" s="222"/>
      <c r="F230" s="222"/>
      <c r="G230" s="222"/>
      <c r="H230" s="222"/>
      <c r="I230" s="222"/>
      <c r="J230" s="222"/>
      <c r="K230" s="222"/>
      <c r="L230" s="222"/>
    </row>
    <row r="231" spans="2:12" ht="13">
      <c r="B231" s="266" t="s">
        <v>141</v>
      </c>
      <c r="C231" s="267" t="s">
        <v>142</v>
      </c>
      <c r="D231" s="267" t="s">
        <v>82</v>
      </c>
      <c r="E231" s="269" t="s">
        <v>152</v>
      </c>
      <c r="F231" s="269"/>
      <c r="G231" s="268" t="s">
        <v>81</v>
      </c>
      <c r="H231" s="268" t="s">
        <v>143</v>
      </c>
      <c r="I231" s="268" t="s">
        <v>144</v>
      </c>
      <c r="J231" s="268" t="s">
        <v>145</v>
      </c>
      <c r="K231" s="268" t="s">
        <v>146</v>
      </c>
      <c r="L231" s="70"/>
    </row>
    <row r="232" spans="2:12">
      <c r="B232" s="38" t="s">
        <v>363</v>
      </c>
      <c r="C232" s="67"/>
      <c r="D232" s="244" t="s">
        <v>318</v>
      </c>
      <c r="L232" s="73"/>
    </row>
    <row r="233" spans="2:12">
      <c r="B233" s="15" t="s">
        <v>331</v>
      </c>
      <c r="C233" s="56">
        <f>_xlfn.XLOOKUP(E234,Long_haul_names_concrete_UR,Load_haul_dump_rubble_distance_avg)</f>
        <v>17.5</v>
      </c>
      <c r="D233" s="244" t="s">
        <v>155</v>
      </c>
      <c r="L233" s="73"/>
    </row>
    <row r="234" spans="2:12" ht="13">
      <c r="B234" s="15" t="s">
        <v>332</v>
      </c>
      <c r="C234" s="288">
        <f>C233*C232</f>
        <v>0</v>
      </c>
      <c r="D234" s="244" t="s">
        <v>169</v>
      </c>
      <c r="E234" s="77" t="s">
        <v>364</v>
      </c>
      <c r="G234" s="48">
        <f>_xlfn.XLOOKUP(E234,Long_haul_names_concrete_UR,Long_haul_rates_concrete_UR)</f>
        <v>1.4941927376370074</v>
      </c>
      <c r="H234" s="72"/>
      <c r="I234" s="49">
        <f>IF(H234="",G234,H234)</f>
        <v>1.4941927376370074</v>
      </c>
      <c r="J234" s="244" t="s">
        <v>169</v>
      </c>
      <c r="K234" s="46">
        <f>I234*C234</f>
        <v>0</v>
      </c>
      <c r="L234" s="73"/>
    </row>
    <row r="235" spans="2:12" ht="13">
      <c r="B235" s="57" t="s">
        <v>334</v>
      </c>
      <c r="C235" s="290">
        <f>C232</f>
        <v>0</v>
      </c>
      <c r="D235" s="244" t="s">
        <v>318</v>
      </c>
      <c r="E235" s="300" t="str">
        <f>Disposal_gate_fee_Construction_Debris</f>
        <v>Disposal (gate fee) construction debris</v>
      </c>
      <c r="G235" s="48">
        <f>Disposal_gate_fee_Construction_Debris_rate</f>
        <v>70</v>
      </c>
      <c r="H235" s="72"/>
      <c r="I235" s="49">
        <f>IF(H235="",G235,H235)</f>
        <v>70</v>
      </c>
      <c r="J235" s="244" t="s">
        <v>318</v>
      </c>
      <c r="K235" s="46">
        <f>I235*C235</f>
        <v>0</v>
      </c>
      <c r="L235" s="73"/>
    </row>
    <row r="236" spans="2:12" ht="13">
      <c r="B236" s="57" t="s">
        <v>336</v>
      </c>
      <c r="C236" s="290">
        <f>C232</f>
        <v>0</v>
      </c>
      <c r="D236" s="244" t="s">
        <v>318</v>
      </c>
      <c r="E236" s="77" t="s">
        <v>342</v>
      </c>
      <c r="G236" s="48">
        <f>_xlfn.XLOOKUP(E236,Waste_levy_names,Waste_levy_rates)</f>
        <v>85.5</v>
      </c>
      <c r="H236" s="72"/>
      <c r="I236" s="49">
        <f>IF(H236="",G236,H236)</f>
        <v>85.5</v>
      </c>
      <c r="J236" s="244" t="s">
        <v>318</v>
      </c>
      <c r="K236" s="46">
        <f>I236*C236</f>
        <v>0</v>
      </c>
      <c r="L236" s="70"/>
    </row>
    <row r="237" spans="2:12">
      <c r="C237" s="289"/>
      <c r="L237" s="73"/>
    </row>
    <row r="238" spans="2:12" ht="13">
      <c r="B238" s="256" t="str">
        <f>B$21</f>
        <v>Totals</v>
      </c>
      <c r="C238" s="298">
        <f>C232</f>
        <v>0</v>
      </c>
      <c r="D238" s="244" t="s">
        <v>318</v>
      </c>
      <c r="G238" s="263"/>
      <c r="H238" s="280" t="s">
        <v>365</v>
      </c>
      <c r="I238" s="40">
        <f>IF(C238=0,0,K238/C238)</f>
        <v>0</v>
      </c>
      <c r="J238" s="281" t="s">
        <v>366</v>
      </c>
      <c r="K238" s="36">
        <f>SUM(K231:K237)</f>
        <v>0</v>
      </c>
      <c r="L238" s="70"/>
    </row>
    <row r="239" spans="2:12">
      <c r="L239" s="70"/>
    </row>
    <row r="240" spans="2:12" ht="13">
      <c r="B240" s="222" t="s">
        <v>367</v>
      </c>
      <c r="C240" s="222"/>
      <c r="D240" s="222"/>
      <c r="E240" s="222"/>
      <c r="F240" s="222"/>
      <c r="G240" s="222"/>
      <c r="H240" s="222"/>
      <c r="I240" s="222"/>
      <c r="J240" s="222"/>
      <c r="K240" s="222"/>
      <c r="L240" s="222"/>
    </row>
    <row r="241" spans="2:12" ht="13">
      <c r="B241" s="266" t="s">
        <v>141</v>
      </c>
      <c r="C241" s="267" t="s">
        <v>142</v>
      </c>
      <c r="D241" s="267" t="s">
        <v>82</v>
      </c>
      <c r="E241" s="269" t="s">
        <v>152</v>
      </c>
      <c r="F241" s="269"/>
      <c r="G241" s="268" t="s">
        <v>81</v>
      </c>
      <c r="H241" s="268" t="s">
        <v>143</v>
      </c>
      <c r="I241" s="268" t="s">
        <v>144</v>
      </c>
      <c r="J241" s="268" t="s">
        <v>145</v>
      </c>
      <c r="K241" s="268" t="s">
        <v>146</v>
      </c>
      <c r="L241" s="70"/>
    </row>
    <row r="242" spans="2:12">
      <c r="B242" s="38" t="s">
        <v>368</v>
      </c>
      <c r="C242" s="67"/>
      <c r="D242" s="244" t="s">
        <v>318</v>
      </c>
      <c r="L242" s="73"/>
    </row>
    <row r="243" spans="2:12">
      <c r="B243" s="15" t="s">
        <v>331</v>
      </c>
      <c r="C243" s="56">
        <f>_xlfn.XLOOKUP(E244,Long_haul_names_steel_UR,Load_haul_dump_steel_distance_avg)</f>
        <v>22.5</v>
      </c>
      <c r="D243" s="244" t="s">
        <v>155</v>
      </c>
      <c r="L243" s="73"/>
    </row>
    <row r="244" spans="2:12" ht="13">
      <c r="B244" s="15" t="s">
        <v>332</v>
      </c>
      <c r="C244" s="288">
        <f>C243*C242</f>
        <v>0</v>
      </c>
      <c r="D244" s="244" t="s">
        <v>169</v>
      </c>
      <c r="E244" s="77" t="s">
        <v>369</v>
      </c>
      <c r="G244" s="48">
        <f>_xlfn.XLOOKUP(E244,Long_haul_names_steel_UR,Long_haul_rates_steel_UR)</f>
        <v>2.4064462386261694</v>
      </c>
      <c r="H244" s="72"/>
      <c r="I244" s="49">
        <f>IF(H244="",G244,H244)</f>
        <v>2.4064462386261694</v>
      </c>
      <c r="J244" s="244" t="s">
        <v>169</v>
      </c>
      <c r="K244" s="46">
        <f>I244*C244</f>
        <v>0</v>
      </c>
      <c r="L244" s="73"/>
    </row>
    <row r="245" spans="2:12" ht="13">
      <c r="B245" s="57" t="s">
        <v>334</v>
      </c>
      <c r="C245" s="290">
        <f>C242</f>
        <v>0</v>
      </c>
      <c r="D245" s="244" t="s">
        <v>318</v>
      </c>
      <c r="E245" s="300" t="str">
        <f>Rates!B110</f>
        <v>Disposal (gate fee) steel</v>
      </c>
      <c r="G245" s="48">
        <f>Disposal_gate_fee_Steel</f>
        <v>0</v>
      </c>
      <c r="H245" s="72"/>
      <c r="I245" s="49">
        <f>IF(H245="",G245,H245)</f>
        <v>0</v>
      </c>
      <c r="J245" s="244" t="s">
        <v>318</v>
      </c>
      <c r="K245" s="46">
        <f>I245*C245</f>
        <v>0</v>
      </c>
      <c r="L245" s="73"/>
    </row>
    <row r="246" spans="2:12" ht="13">
      <c r="B246" s="57" t="s">
        <v>336</v>
      </c>
      <c r="C246" s="290">
        <f>C242</f>
        <v>0</v>
      </c>
      <c r="D246" s="244" t="s">
        <v>318</v>
      </c>
      <c r="E246" s="77" t="s">
        <v>342</v>
      </c>
      <c r="G246" s="48">
        <f>_xlfn.XLOOKUP(E246,Waste_levy_names,Waste_levy_rates)</f>
        <v>85.5</v>
      </c>
      <c r="H246" s="72"/>
      <c r="I246" s="49">
        <f>IF(H246="",G246,H246)</f>
        <v>85.5</v>
      </c>
      <c r="J246" s="244" t="s">
        <v>318</v>
      </c>
      <c r="K246" s="46">
        <f>I246*C246</f>
        <v>0</v>
      </c>
      <c r="L246" s="70"/>
    </row>
    <row r="247" spans="2:12">
      <c r="C247" s="289"/>
      <c r="L247" s="73"/>
    </row>
    <row r="248" spans="2:12" ht="13">
      <c r="B248" s="256" t="str">
        <f>B$21</f>
        <v>Totals</v>
      </c>
      <c r="C248" s="298">
        <f>C242</f>
        <v>0</v>
      </c>
      <c r="D248" s="244" t="s">
        <v>318</v>
      </c>
      <c r="G248" s="263"/>
      <c r="H248" s="280" t="s">
        <v>371</v>
      </c>
      <c r="I248" s="40">
        <f>IF(C248=0,0,K248/C248)</f>
        <v>0</v>
      </c>
      <c r="J248" s="281" t="s">
        <v>366</v>
      </c>
      <c r="K248" s="36">
        <f>SUM(K241:K247)</f>
        <v>0</v>
      </c>
      <c r="L248" s="70"/>
    </row>
    <row r="249" spans="2:12">
      <c r="L249" s="70"/>
    </row>
    <row r="250" spans="2:12" ht="13">
      <c r="B250" s="222" t="s">
        <v>372</v>
      </c>
      <c r="C250" s="222"/>
      <c r="D250" s="222"/>
      <c r="E250" s="222"/>
      <c r="F250" s="222"/>
      <c r="G250" s="222"/>
      <c r="H250" s="222"/>
      <c r="I250" s="222"/>
      <c r="J250" s="222"/>
      <c r="K250" s="222"/>
      <c r="L250" s="222"/>
    </row>
    <row r="251" spans="2:12" ht="13">
      <c r="B251" s="266" t="s">
        <v>141</v>
      </c>
      <c r="C251" s="267" t="s">
        <v>142</v>
      </c>
      <c r="D251" s="267" t="s">
        <v>82</v>
      </c>
      <c r="E251" s="269" t="s">
        <v>152</v>
      </c>
      <c r="F251" s="269"/>
      <c r="G251" s="268" t="s">
        <v>81</v>
      </c>
      <c r="H251" s="268" t="s">
        <v>143</v>
      </c>
      <c r="I251" s="268" t="s">
        <v>144</v>
      </c>
      <c r="J251" s="268" t="s">
        <v>145</v>
      </c>
      <c r="K251" s="268" t="s">
        <v>146</v>
      </c>
      <c r="L251" s="45" t="s">
        <v>373</v>
      </c>
    </row>
    <row r="252" spans="2:12">
      <c r="B252" s="38" t="s">
        <v>374</v>
      </c>
      <c r="C252" s="67"/>
      <c r="D252" s="244" t="s">
        <v>318</v>
      </c>
      <c r="L252" s="73"/>
    </row>
    <row r="253" spans="2:12">
      <c r="B253" s="15" t="s">
        <v>331</v>
      </c>
      <c r="C253" s="56">
        <f>_xlfn.XLOOKUP(E254,Load_haul_dump_soil_ameliorants_from_off_site_names_UR,Load_haul_dump_growth_media_distance_avg)</f>
        <v>22.5</v>
      </c>
      <c r="D253" s="244" t="s">
        <v>155</v>
      </c>
      <c r="L253" s="73"/>
    </row>
    <row r="254" spans="2:12" ht="13">
      <c r="B254" s="15" t="s">
        <v>332</v>
      </c>
      <c r="C254" s="288">
        <f>C253*C252</f>
        <v>0</v>
      </c>
      <c r="D254" s="244" t="s">
        <v>169</v>
      </c>
      <c r="E254" s="77" t="s">
        <v>321</v>
      </c>
      <c r="G254" s="48">
        <f>_xlfn.XLOOKUP(E254,Load_haul_dump_soil_ameliorants_from_off_site_names_UR,Load_haul_dump_soil_ameliorants_from_off_site_rates_UR)</f>
        <v>0.26562499999999994</v>
      </c>
      <c r="H254" s="72"/>
      <c r="I254" s="49">
        <f>IF(H254="",G254,H254)</f>
        <v>0.26562499999999994</v>
      </c>
      <c r="J254" s="244" t="s">
        <v>169</v>
      </c>
      <c r="K254" s="46">
        <f>I254*C254</f>
        <v>0</v>
      </c>
      <c r="L254" s="73"/>
    </row>
    <row r="255" spans="2:12" ht="13">
      <c r="B255" s="57" t="s">
        <v>334</v>
      </c>
      <c r="C255" s="290">
        <f>C252</f>
        <v>0</v>
      </c>
      <c r="D255" s="244" t="s">
        <v>318</v>
      </c>
      <c r="E255" s="80" t="s">
        <v>880</v>
      </c>
      <c r="G255" s="48">
        <f>_xlfn.XLOOKUP(E255,Disposal_gate_fee_names,Disposal_gate_fee_rates)</f>
        <v>275</v>
      </c>
      <c r="H255" s="72"/>
      <c r="I255" s="49">
        <f>IF(H255="",G255,H255)</f>
        <v>275</v>
      </c>
      <c r="J255" s="244" t="s">
        <v>318</v>
      </c>
      <c r="K255" s="46">
        <f>I255*C255</f>
        <v>0</v>
      </c>
      <c r="L255" s="73"/>
    </row>
    <row r="256" spans="2:12" ht="13">
      <c r="B256" s="57" t="s">
        <v>336</v>
      </c>
      <c r="C256" s="290">
        <f>C252</f>
        <v>0</v>
      </c>
      <c r="D256" s="244" t="s">
        <v>318</v>
      </c>
      <c r="E256" s="77" t="s">
        <v>342</v>
      </c>
      <c r="G256" s="48">
        <f>_xlfn.XLOOKUP(E256,Waste_levy_names,Waste_levy_rates)</f>
        <v>85.5</v>
      </c>
      <c r="H256" s="72"/>
      <c r="I256" s="49">
        <f>IF(H256="",G256,H256)</f>
        <v>85.5</v>
      </c>
      <c r="J256" s="244" t="s">
        <v>318</v>
      </c>
      <c r="K256" s="46">
        <f>I256*C256</f>
        <v>0</v>
      </c>
      <c r="L256" s="73"/>
    </row>
    <row r="257" spans="2:12">
      <c r="C257" s="289"/>
      <c r="L257" s="73"/>
    </row>
    <row r="258" spans="2:12" ht="13">
      <c r="B258" s="256" t="str">
        <f>B$21</f>
        <v>Totals</v>
      </c>
      <c r="C258" s="298">
        <f>C252</f>
        <v>0</v>
      </c>
      <c r="D258" s="244" t="s">
        <v>318</v>
      </c>
      <c r="G258" s="263"/>
      <c r="H258" s="280" t="s">
        <v>375</v>
      </c>
      <c r="I258" s="40">
        <f>IF(C258=0,0,K258/C258)</f>
        <v>0</v>
      </c>
      <c r="J258" s="281" t="s">
        <v>366</v>
      </c>
      <c r="K258" s="36">
        <f>SUM(K251:K257)</f>
        <v>0</v>
      </c>
      <c r="L258" s="70"/>
    </row>
    <row r="259" spans="2:12">
      <c r="L259" s="70"/>
    </row>
    <row r="260" spans="2:12" ht="13">
      <c r="B260" s="222" t="s">
        <v>376</v>
      </c>
      <c r="C260" s="222"/>
      <c r="D260" s="222"/>
      <c r="E260" s="222"/>
      <c r="F260" s="222"/>
      <c r="G260" s="222"/>
      <c r="H260" s="222"/>
      <c r="I260" s="222"/>
      <c r="J260" s="222"/>
      <c r="K260" s="222"/>
      <c r="L260" s="222"/>
    </row>
    <row r="261" spans="2:12" ht="13">
      <c r="B261" s="266" t="s">
        <v>141</v>
      </c>
      <c r="C261" s="267" t="s">
        <v>142</v>
      </c>
      <c r="D261" s="267" t="s">
        <v>82</v>
      </c>
      <c r="E261" s="269" t="s">
        <v>152</v>
      </c>
      <c r="F261" s="269"/>
      <c r="G261" s="268" t="s">
        <v>81</v>
      </c>
      <c r="H261" s="268" t="s">
        <v>143</v>
      </c>
      <c r="I261" s="268" t="s">
        <v>144</v>
      </c>
      <c r="J261" s="268" t="s">
        <v>145</v>
      </c>
      <c r="K261" s="268" t="s">
        <v>146</v>
      </c>
      <c r="L261" s="70"/>
    </row>
    <row r="262" spans="2:12" ht="13">
      <c r="B262" s="38" t="s">
        <v>377</v>
      </c>
      <c r="C262" s="71"/>
      <c r="D262" s="263" t="s">
        <v>378</v>
      </c>
      <c r="E262" s="77" t="s">
        <v>379</v>
      </c>
      <c r="G262" s="39">
        <f>_xlfn.XLOOKUP(E262,Mobe_names_solar_CS,Mobe_rates_solar_CS)</f>
        <v>38000</v>
      </c>
      <c r="H262" s="72"/>
      <c r="I262" s="40">
        <f t="shared" ref="I262:I263" si="13">IF(H262="",G262,H262)</f>
        <v>38000</v>
      </c>
      <c r="J262" s="244" t="s">
        <v>380</v>
      </c>
      <c r="K262" s="46">
        <f>I262*C262</f>
        <v>0</v>
      </c>
      <c r="L262" s="73"/>
    </row>
    <row r="263" spans="2:12" ht="13">
      <c r="B263" s="38" t="s">
        <v>381</v>
      </c>
      <c r="C263" s="71"/>
      <c r="D263" s="263" t="s">
        <v>378</v>
      </c>
      <c r="E263" s="77" t="s">
        <v>382</v>
      </c>
      <c r="G263" s="39">
        <f>_xlfn.XLOOKUP(E263,Mobe_names_electrical_CS,Mobe_rates_electrical_CS)</f>
        <v>38000</v>
      </c>
      <c r="H263" s="72"/>
      <c r="I263" s="40">
        <f t="shared" si="13"/>
        <v>38000</v>
      </c>
      <c r="J263" s="244" t="s">
        <v>380</v>
      </c>
      <c r="K263" s="46">
        <f t="shared" ref="K263:K264" si="14">I263*C263</f>
        <v>0</v>
      </c>
      <c r="L263" s="73"/>
    </row>
    <row r="264" spans="2:12" ht="13">
      <c r="B264" s="38" t="s">
        <v>383</v>
      </c>
      <c r="C264" s="71"/>
      <c r="D264" s="263" t="s">
        <v>378</v>
      </c>
      <c r="E264" s="77" t="s">
        <v>384</v>
      </c>
      <c r="G264" s="39">
        <f>_xlfn.XLOOKUP(E264,Mobe_names_land_CS,Mobe_rates_land_CS)</f>
        <v>61000</v>
      </c>
      <c r="H264" s="72"/>
      <c r="I264" s="40">
        <f>IF(H264="",G264,H264)</f>
        <v>61000</v>
      </c>
      <c r="J264" s="244" t="s">
        <v>380</v>
      </c>
      <c r="K264" s="46">
        <f t="shared" si="14"/>
        <v>0</v>
      </c>
      <c r="L264" s="73"/>
    </row>
    <row r="265" spans="2:12">
      <c r="C265" s="310"/>
      <c r="D265" s="263"/>
      <c r="L265" s="73"/>
    </row>
    <row r="266" spans="2:12" ht="13">
      <c r="B266" s="256" t="str">
        <f>B$21</f>
        <v>Totals</v>
      </c>
      <c r="C266" s="311">
        <f>SUM(C262:C264)</f>
        <v>0</v>
      </c>
      <c r="D266" s="263" t="s">
        <v>378</v>
      </c>
      <c r="G266" s="263"/>
      <c r="H266" s="280" t="s">
        <v>385</v>
      </c>
      <c r="I266" s="40">
        <f>IF(C266=0,0,K266/C266)</f>
        <v>0</v>
      </c>
      <c r="J266" s="281" t="s">
        <v>386</v>
      </c>
      <c r="K266" s="36">
        <f>SUM(K261:K265)</f>
        <v>0</v>
      </c>
      <c r="L266" s="70"/>
    </row>
    <row r="267" spans="2:12">
      <c r="L267" s="70"/>
    </row>
    <row r="268" spans="2:12" ht="13">
      <c r="B268" s="222" t="s">
        <v>387</v>
      </c>
      <c r="C268" s="222"/>
      <c r="D268" s="222"/>
      <c r="E268" s="222"/>
      <c r="F268" s="222"/>
      <c r="G268" s="222"/>
      <c r="H268" s="222"/>
      <c r="I268" s="222"/>
      <c r="J268" s="222"/>
      <c r="K268" s="222"/>
      <c r="L268" s="222"/>
    </row>
    <row r="269" spans="2:12" ht="27" customHeight="1">
      <c r="B269" s="266" t="s">
        <v>141</v>
      </c>
      <c r="C269" s="267" t="s">
        <v>142</v>
      </c>
      <c r="D269" s="267" t="s">
        <v>82</v>
      </c>
      <c r="E269" s="269"/>
      <c r="F269" s="269"/>
      <c r="G269" s="268" t="s">
        <v>81</v>
      </c>
      <c r="H269" s="268" t="s">
        <v>143</v>
      </c>
      <c r="I269" s="268" t="s">
        <v>144</v>
      </c>
      <c r="J269" s="268" t="s">
        <v>145</v>
      </c>
      <c r="K269" s="268" t="s">
        <v>146</v>
      </c>
      <c r="L269" s="70"/>
    </row>
    <row r="270" spans="2:12" ht="13">
      <c r="B270" s="38" t="str">
        <f>'Cost Schedule'!B394</f>
        <v>Solar Farm Permitting</v>
      </c>
      <c r="C270" s="71"/>
      <c r="D270" s="244" t="s">
        <v>388</v>
      </c>
      <c r="G270" s="39">
        <f>'Cost Schedule'!C394</f>
        <v>36801.086205621214</v>
      </c>
      <c r="H270" s="72"/>
      <c r="I270" s="40">
        <f t="shared" ref="I270:I272" si="15">IF(H270="",G270,H270)</f>
        <v>36801.086205621214</v>
      </c>
      <c r="J270" s="263" t="s">
        <v>391</v>
      </c>
      <c r="K270" s="46">
        <f>I270*C270</f>
        <v>0</v>
      </c>
      <c r="L270" s="73"/>
    </row>
    <row r="271" spans="2:12" ht="13">
      <c r="B271" s="38" t="str">
        <f>'Cost Schedule'!B396</f>
        <v>Solar Farm Decommissioning Plan</v>
      </c>
      <c r="C271" s="71"/>
      <c r="D271" s="244" t="s">
        <v>388</v>
      </c>
      <c r="G271" s="39">
        <f>'Cost Schedule'!C396</f>
        <v>40400.928993950867</v>
      </c>
      <c r="H271" s="72"/>
      <c r="I271" s="40">
        <f t="shared" si="15"/>
        <v>40400.928993950867</v>
      </c>
      <c r="J271" s="263" t="s">
        <v>389</v>
      </c>
      <c r="K271" s="46">
        <f t="shared" ref="K271:K272" si="16">I271*C271</f>
        <v>0</v>
      </c>
      <c r="L271" s="70"/>
    </row>
    <row r="272" spans="2:12" ht="13">
      <c r="B272" s="38" t="s">
        <v>390</v>
      </c>
      <c r="C272" s="71"/>
      <c r="D272" s="244" t="s">
        <v>388</v>
      </c>
      <c r="G272" s="48"/>
      <c r="H272" s="72"/>
      <c r="I272" s="49">
        <f t="shared" si="15"/>
        <v>0</v>
      </c>
      <c r="J272" s="263" t="s">
        <v>391</v>
      </c>
      <c r="K272" s="46">
        <f t="shared" si="16"/>
        <v>0</v>
      </c>
      <c r="L272" s="73"/>
    </row>
    <row r="273" spans="2:12" ht="13">
      <c r="B273" s="38" t="s">
        <v>392</v>
      </c>
      <c r="C273" s="71"/>
      <c r="D273" s="244" t="s">
        <v>388</v>
      </c>
      <c r="G273" s="48"/>
      <c r="H273" s="72"/>
      <c r="I273" s="49">
        <f>IF(H273="",G273,H273)</f>
        <v>0</v>
      </c>
      <c r="J273" s="263" t="s">
        <v>391</v>
      </c>
      <c r="K273" s="46">
        <f>I273*C273</f>
        <v>0</v>
      </c>
      <c r="L273" s="70"/>
    </row>
    <row r="274" spans="2:12" ht="13">
      <c r="B274" s="81" t="s">
        <v>348</v>
      </c>
      <c r="C274" s="71"/>
      <c r="D274" s="244" t="s">
        <v>388</v>
      </c>
      <c r="G274" s="48"/>
      <c r="H274" s="72"/>
      <c r="I274" s="49">
        <f>IF(H274="",G274,H274)</f>
        <v>0</v>
      </c>
      <c r="J274" s="263" t="s">
        <v>391</v>
      </c>
      <c r="K274" s="46">
        <f>I274*C274</f>
        <v>0</v>
      </c>
      <c r="L274" s="73"/>
    </row>
    <row r="275" spans="2:12">
      <c r="C275" s="312"/>
      <c r="L275" s="73"/>
    </row>
    <row r="276" spans="2:12" ht="13">
      <c r="B276" s="256" t="str">
        <f>B$21</f>
        <v>Totals</v>
      </c>
      <c r="C276" s="311">
        <f>SUM(C269:C275)</f>
        <v>0</v>
      </c>
      <c r="D276" s="244" t="s">
        <v>388</v>
      </c>
      <c r="G276" s="263"/>
      <c r="H276" s="280" t="s">
        <v>393</v>
      </c>
      <c r="I276" s="40">
        <f>IF(C276=0,0,K276/C276)</f>
        <v>0</v>
      </c>
      <c r="J276" s="281" t="s">
        <v>394</v>
      </c>
      <c r="K276" s="36">
        <f>SUM(K269:K275)</f>
        <v>0</v>
      </c>
      <c r="L276" s="70"/>
    </row>
    <row r="277" spans="2:12">
      <c r="L277" s="70"/>
    </row>
    <row r="278" spans="2:12" ht="13">
      <c r="B278" s="222" t="s">
        <v>395</v>
      </c>
      <c r="C278" s="222"/>
      <c r="D278" s="222"/>
      <c r="E278" s="222"/>
      <c r="F278" s="222"/>
      <c r="G278" s="222"/>
      <c r="H278" s="222"/>
      <c r="I278" s="222"/>
      <c r="J278" s="222"/>
      <c r="K278" s="222"/>
      <c r="L278" s="222"/>
    </row>
    <row r="279" spans="2:12" ht="13">
      <c r="B279" s="266" t="s">
        <v>141</v>
      </c>
      <c r="C279" s="267" t="s">
        <v>142</v>
      </c>
      <c r="D279" s="267" t="s">
        <v>82</v>
      </c>
      <c r="E279" s="269" t="s">
        <v>132</v>
      </c>
      <c r="F279" s="269"/>
      <c r="G279" s="268"/>
      <c r="H279" s="268" t="s">
        <v>143</v>
      </c>
      <c r="I279" s="268" t="s">
        <v>144</v>
      </c>
      <c r="J279" s="268" t="s">
        <v>145</v>
      </c>
      <c r="K279" s="268" t="s">
        <v>146</v>
      </c>
      <c r="L279" s="70"/>
    </row>
    <row r="280" spans="2:12" ht="13">
      <c r="B280" s="81" t="s">
        <v>396</v>
      </c>
      <c r="C280" s="67"/>
      <c r="D280" s="83"/>
      <c r="E280" s="70"/>
      <c r="H280" s="215"/>
      <c r="I280" s="49">
        <f t="shared" ref="I280:I282" si="17">IF(H280="",G280,H280)</f>
        <v>0</v>
      </c>
      <c r="J280" s="313">
        <f>D280</f>
        <v>0</v>
      </c>
      <c r="K280" s="46">
        <f t="shared" ref="K280:K285" si="18">I280*C280</f>
        <v>0</v>
      </c>
      <c r="L280" s="73"/>
    </row>
    <row r="281" spans="2:12" ht="13">
      <c r="B281" s="81" t="s">
        <v>396</v>
      </c>
      <c r="C281" s="67"/>
      <c r="D281" s="83"/>
      <c r="E281" s="70"/>
      <c r="H281" s="215"/>
      <c r="I281" s="49">
        <f t="shared" si="17"/>
        <v>0</v>
      </c>
      <c r="J281" s="313">
        <f t="shared" ref="J281:J285" si="19">D281</f>
        <v>0</v>
      </c>
      <c r="K281" s="46">
        <f t="shared" si="18"/>
        <v>0</v>
      </c>
      <c r="L281" s="70"/>
    </row>
    <row r="282" spans="2:12" ht="13">
      <c r="B282" s="81" t="s">
        <v>396</v>
      </c>
      <c r="C282" s="67"/>
      <c r="D282" s="83"/>
      <c r="E282" s="70"/>
      <c r="H282" s="215"/>
      <c r="I282" s="49">
        <f t="shared" si="17"/>
        <v>0</v>
      </c>
      <c r="J282" s="313">
        <f t="shared" si="19"/>
        <v>0</v>
      </c>
      <c r="K282" s="46">
        <f t="shared" si="18"/>
        <v>0</v>
      </c>
      <c r="L282" s="73"/>
    </row>
    <row r="283" spans="2:12" ht="13">
      <c r="B283" s="81" t="s">
        <v>396</v>
      </c>
      <c r="C283" s="67"/>
      <c r="D283" s="83"/>
      <c r="E283" s="70"/>
      <c r="H283" s="215"/>
      <c r="I283" s="49">
        <f>IF(H283="",G283,H283)</f>
        <v>0</v>
      </c>
      <c r="J283" s="313">
        <f t="shared" si="19"/>
        <v>0</v>
      </c>
      <c r="K283" s="46">
        <f t="shared" si="18"/>
        <v>0</v>
      </c>
      <c r="L283" s="70"/>
    </row>
    <row r="284" spans="2:12" ht="13">
      <c r="B284" s="81" t="s">
        <v>396</v>
      </c>
      <c r="C284" s="67"/>
      <c r="D284" s="83"/>
      <c r="E284" s="70"/>
      <c r="H284" s="215"/>
      <c r="I284" s="49">
        <f>IF(H284="",G284,H284)</f>
        <v>0</v>
      </c>
      <c r="J284" s="313">
        <f t="shared" si="19"/>
        <v>0</v>
      </c>
      <c r="K284" s="46">
        <f t="shared" si="18"/>
        <v>0</v>
      </c>
      <c r="L284" s="73"/>
    </row>
    <row r="285" spans="2:12" ht="13">
      <c r="B285" s="81" t="s">
        <v>396</v>
      </c>
      <c r="C285" s="67"/>
      <c r="D285" s="83"/>
      <c r="E285" s="70"/>
      <c r="H285" s="215"/>
      <c r="I285" s="49">
        <f>IF(H285="",G285,H285)</f>
        <v>0</v>
      </c>
      <c r="J285" s="313">
        <f t="shared" si="19"/>
        <v>0</v>
      </c>
      <c r="K285" s="46">
        <f t="shared" si="18"/>
        <v>0</v>
      </c>
      <c r="L285" s="70"/>
    </row>
    <row r="286" spans="2:12">
      <c r="C286" s="289"/>
      <c r="L286" s="73"/>
    </row>
    <row r="287" spans="2:12" ht="13">
      <c r="B287" s="256" t="str">
        <f>B$21</f>
        <v>Totals</v>
      </c>
      <c r="C287" s="298">
        <f>SUM(C279:C286)</f>
        <v>0</v>
      </c>
      <c r="D287" s="313" t="s">
        <v>388</v>
      </c>
      <c r="G287" s="263"/>
      <c r="H287" s="280" t="s">
        <v>397</v>
      </c>
      <c r="I287" s="49">
        <f>IF(C287=0,0,K287/C287)</f>
        <v>0</v>
      </c>
      <c r="J287" s="314" t="s">
        <v>398</v>
      </c>
      <c r="K287" s="36">
        <f>SUM(K279:K286)</f>
        <v>0</v>
      </c>
      <c r="L287" s="70"/>
    </row>
    <row r="288" spans="2:12">
      <c r="L288" s="70"/>
    </row>
    <row r="289" spans="2:12" ht="13">
      <c r="B289" s="222" t="s">
        <v>399</v>
      </c>
      <c r="C289" s="222"/>
      <c r="D289" s="222"/>
      <c r="E289" s="222"/>
      <c r="F289" s="222"/>
      <c r="G289" s="222"/>
      <c r="H289" s="222"/>
      <c r="I289" s="222"/>
      <c r="J289" s="222"/>
      <c r="K289" s="222"/>
      <c r="L289" s="222"/>
    </row>
    <row r="290" spans="2:12" ht="13">
      <c r="B290" s="266" t="s">
        <v>141</v>
      </c>
      <c r="C290" s="267" t="s">
        <v>400</v>
      </c>
      <c r="D290" s="267" t="s">
        <v>401</v>
      </c>
      <c r="E290" s="269"/>
      <c r="F290" s="269" t="s">
        <v>402</v>
      </c>
      <c r="G290" s="268" t="s">
        <v>81</v>
      </c>
      <c r="H290" s="268" t="s">
        <v>143</v>
      </c>
      <c r="I290" s="268" t="s">
        <v>144</v>
      </c>
      <c r="J290" s="268" t="s">
        <v>145</v>
      </c>
      <c r="K290" s="268" t="s">
        <v>146</v>
      </c>
      <c r="L290" s="70"/>
    </row>
    <row r="291" spans="2:12" ht="13">
      <c r="B291" s="38" t="s">
        <v>403</v>
      </c>
      <c r="C291" s="59">
        <f>Project_management_percentage</f>
        <v>0.1</v>
      </c>
      <c r="D291" s="84"/>
      <c r="E291" s="315" t="s">
        <v>404</v>
      </c>
      <c r="F291" s="316">
        <f>SUM(K21,K39,K45,K52,K58,K65,K75,K98,K112,K119,K129,K139,K159,K176,K189,K199,K209,K227,K238,K248,K258,K266,K276,K287)</f>
        <v>0</v>
      </c>
      <c r="G291" s="39">
        <f>F$291*IF(D291="",C291,D291)</f>
        <v>0</v>
      </c>
      <c r="H291" s="72"/>
      <c r="I291" s="40">
        <f>IF(H291="",G291,H291)</f>
        <v>0</v>
      </c>
      <c r="J291" s="263"/>
      <c r="K291" s="46">
        <f>I291</f>
        <v>0</v>
      </c>
      <c r="L291" s="70"/>
    </row>
    <row r="292" spans="2:12" ht="13">
      <c r="B292" s="38" t="s">
        <v>405</v>
      </c>
      <c r="C292" s="59">
        <f>Ongoing_monitoring_percentage</f>
        <v>0.05</v>
      </c>
      <c r="D292" s="84"/>
      <c r="E292" s="315" t="s">
        <v>404</v>
      </c>
      <c r="G292" s="39">
        <f>F$291*IF(D292="",C292,D292)</f>
        <v>0</v>
      </c>
      <c r="H292" s="72"/>
      <c r="I292" s="40">
        <f t="shared" ref="I292:I293" si="20">IF(H292="",G292,H292)</f>
        <v>0</v>
      </c>
      <c r="J292" s="263"/>
      <c r="K292" s="46">
        <f t="shared" ref="K292:K293" si="21">I292</f>
        <v>0</v>
      </c>
      <c r="L292" s="70"/>
    </row>
    <row r="293" spans="2:12" ht="13">
      <c r="B293" s="60" t="s">
        <v>406</v>
      </c>
      <c r="C293" s="59">
        <f>Contingency_percentage</f>
        <v>0.1</v>
      </c>
      <c r="D293" s="84"/>
      <c r="E293" s="315" t="s">
        <v>404</v>
      </c>
      <c r="G293" s="39">
        <f t="shared" ref="G293" si="22">F$291*IF(D293="",C293,D293)</f>
        <v>0</v>
      </c>
      <c r="H293" s="72"/>
      <c r="I293" s="40">
        <f t="shared" si="20"/>
        <v>0</v>
      </c>
      <c r="J293" s="263"/>
      <c r="K293" s="46">
        <f t="shared" si="21"/>
        <v>0</v>
      </c>
      <c r="L293" s="70"/>
    </row>
    <row r="294" spans="2:12">
      <c r="L294" s="70"/>
    </row>
    <row r="295" spans="2:12" ht="13">
      <c r="G295" s="263"/>
      <c r="H295" s="263"/>
      <c r="I295" s="263"/>
      <c r="J295" s="281" t="s">
        <v>398</v>
      </c>
      <c r="K295" s="36">
        <f>SUM(K290:K294)</f>
        <v>0</v>
      </c>
      <c r="L295" s="70"/>
    </row>
    <row r="296" spans="2:12">
      <c r="L296" s="70"/>
    </row>
    <row r="297" spans="2:12" ht="13">
      <c r="B297" s="222" t="s">
        <v>98</v>
      </c>
      <c r="C297" s="222"/>
      <c r="D297" s="222"/>
      <c r="E297" s="222"/>
      <c r="F297" s="222"/>
      <c r="G297" s="222"/>
      <c r="H297" s="222"/>
      <c r="I297" s="222"/>
      <c r="J297" s="222"/>
      <c r="K297" s="222"/>
      <c r="L297" s="222"/>
    </row>
    <row r="298" spans="2:12" ht="13">
      <c r="B298" s="266" t="s">
        <v>31</v>
      </c>
      <c r="C298" s="267" t="s">
        <v>407</v>
      </c>
      <c r="D298" s="267" t="s">
        <v>408</v>
      </c>
      <c r="E298" s="269" t="s">
        <v>409</v>
      </c>
      <c r="F298" s="269"/>
      <c r="G298" s="268" t="s">
        <v>81</v>
      </c>
      <c r="H298" s="268" t="s">
        <v>143</v>
      </c>
      <c r="I298" s="268" t="s">
        <v>144</v>
      </c>
      <c r="J298" s="268" t="s">
        <v>145</v>
      </c>
      <c r="K298" s="268" t="s">
        <v>146</v>
      </c>
      <c r="L298" s="70"/>
    </row>
    <row r="299" spans="2:12" ht="13">
      <c r="B299" s="15" t="s">
        <v>410</v>
      </c>
      <c r="D299" s="317"/>
      <c r="E299" s="285" t="str">
        <f>C13</f>
        <v>Select make and model</v>
      </c>
      <c r="F299" s="269"/>
      <c r="L299" s="70"/>
    </row>
    <row r="300" spans="2:12" ht="13.5" thickBot="1">
      <c r="B300" s="38" t="str" cm="1">
        <f t="array" ref="B300:B305">TRANSPOSE(Panels_headers)</f>
        <v>Mass</v>
      </c>
      <c r="C300" s="61">
        <f>SUM(C301:C305)</f>
        <v>0</v>
      </c>
      <c r="D300" s="62">
        <f>IF($C$13=Panels!$B$6,0,INDEX(Panels_values,MATCH($C$13,Panels_models,0),MATCH($B300,Panels_headers,0)))*$C$14</f>
        <v>0</v>
      </c>
      <c r="F300" s="269"/>
      <c r="L300" s="70"/>
    </row>
    <row r="301" spans="2:12" ht="13.5" thickTop="1">
      <c r="B301" s="38" t="str">
        <v>Glass</v>
      </c>
      <c r="C301" s="61">
        <f>IF($C$13=Panels!$B$6,0,INDEX(Panels_values,MATCH($E$69,Panels_models,0),MATCH($B301,Panels_headers,0)))</f>
        <v>0</v>
      </c>
      <c r="D301" s="318">
        <f>C301*D$300</f>
        <v>0</v>
      </c>
      <c r="E301" s="70"/>
      <c r="G301" s="48">
        <f>Scrap_glass_rate</f>
        <v>0</v>
      </c>
      <c r="H301" s="85"/>
      <c r="I301" s="49">
        <f>IF(H301="",G301,H301)</f>
        <v>0</v>
      </c>
      <c r="J301" s="244" t="s">
        <v>411</v>
      </c>
      <c r="K301" s="46">
        <f>D301*I301</f>
        <v>0</v>
      </c>
      <c r="L301" s="70"/>
    </row>
    <row r="302" spans="2:12" ht="13">
      <c r="B302" s="38" t="str">
        <v>Aluminium</v>
      </c>
      <c r="C302" s="61">
        <f>IF($C$13=Panels!$B$6,0,INDEX(Panels_values,MATCH($E$69,Panels_models,0),MATCH($B302,Panels_headers,0)))</f>
        <v>0</v>
      </c>
      <c r="D302" s="318">
        <f t="shared" ref="D302:D305" si="23">C302*D$300</f>
        <v>0</v>
      </c>
      <c r="E302" s="70"/>
      <c r="G302" s="48">
        <f>Scrap_aluminium_and_alloy_rate</f>
        <v>2.5</v>
      </c>
      <c r="H302" s="85"/>
      <c r="I302" s="49">
        <f>IF(H302="",G302,H302)</f>
        <v>2.5</v>
      </c>
      <c r="J302" s="244" t="s">
        <v>411</v>
      </c>
      <c r="K302" s="46">
        <f>D302*I302</f>
        <v>0</v>
      </c>
      <c r="L302" s="70"/>
    </row>
    <row r="303" spans="2:12" ht="13">
      <c r="B303" s="38" t="str">
        <v>Copper</v>
      </c>
      <c r="C303" s="61">
        <f>IF($C$13=Panels!$B$6,0,INDEX(Panels_values,MATCH($E$69,Panels_models,0),MATCH($B303,Panels_headers,0)))</f>
        <v>0</v>
      </c>
      <c r="D303" s="318">
        <f>C303*D$300</f>
        <v>0</v>
      </c>
      <c r="E303" s="70"/>
      <c r="G303" s="48">
        <f>Scrap_copper_and_alloy_rate</f>
        <v>5</v>
      </c>
      <c r="H303" s="85"/>
      <c r="I303" s="49">
        <f>IF(H303="",G303,H303)</f>
        <v>5</v>
      </c>
      <c r="J303" s="244" t="s">
        <v>411</v>
      </c>
      <c r="K303" s="46">
        <f>D303*I303</f>
        <v>0</v>
      </c>
      <c r="L303" s="70"/>
    </row>
    <row r="304" spans="2:12" ht="13">
      <c r="B304" s="38" t="str">
        <v>Silver</v>
      </c>
      <c r="C304" s="61">
        <f>IF($C$13=Panels!$B$6,0,INDEX(Panels_values,MATCH($E$69,Panels_models,0),MATCH($B304,Panels_headers,0)))</f>
        <v>0</v>
      </c>
      <c r="D304" s="318">
        <f t="shared" si="23"/>
        <v>0</v>
      </c>
      <c r="E304" s="70"/>
      <c r="G304" s="48">
        <f>Scrap_silver_rate</f>
        <v>1200</v>
      </c>
      <c r="H304" s="85"/>
      <c r="I304" s="49">
        <f>IF(H304="",G304,H304)</f>
        <v>1200</v>
      </c>
      <c r="J304" s="244" t="s">
        <v>411</v>
      </c>
      <c r="K304" s="46">
        <f>D304*I304</f>
        <v>0</v>
      </c>
      <c r="L304" s="70"/>
    </row>
    <row r="305" spans="2:12" ht="13">
      <c r="B305" s="38" t="str">
        <v>Other (non-recylable)</v>
      </c>
      <c r="C305" s="61">
        <f>IF($C$13=Panels!$B$6,0,INDEX(Panels_values,MATCH($E$69,Panels_models,0),MATCH($B305,Panels_headers,0)))</f>
        <v>0</v>
      </c>
      <c r="D305" s="318">
        <f t="shared" si="23"/>
        <v>0</v>
      </c>
      <c r="E305" s="70"/>
      <c r="G305" s="86"/>
      <c r="H305" s="85"/>
      <c r="I305" s="49">
        <f t="shared" ref="I305" si="24">IF(H305="",G305,H305)</f>
        <v>0</v>
      </c>
      <c r="J305" s="244" t="s">
        <v>411</v>
      </c>
      <c r="K305" s="46">
        <f>D305*I305</f>
        <v>0</v>
      </c>
      <c r="L305" s="73"/>
    </row>
    <row r="306" spans="2:12">
      <c r="D306" s="313"/>
      <c r="L306" s="73"/>
    </row>
    <row r="307" spans="2:12" ht="13">
      <c r="D307" s="313"/>
      <c r="H307" s="270" t="s">
        <v>412</v>
      </c>
      <c r="I307" s="49">
        <f>IF($C$14=0,0,K307/$C$14)</f>
        <v>0</v>
      </c>
      <c r="J307" s="271" t="s">
        <v>211</v>
      </c>
      <c r="K307" s="36">
        <f>SUM(K298:K306)</f>
        <v>0</v>
      </c>
      <c r="L307" s="73"/>
    </row>
    <row r="308" spans="2:12">
      <c r="D308" s="313"/>
      <c r="L308" s="73"/>
    </row>
    <row r="309" spans="2:12" ht="26">
      <c r="B309" s="266" t="s">
        <v>413</v>
      </c>
      <c r="C309" s="268" t="s">
        <v>414</v>
      </c>
      <c r="D309" s="319" t="s">
        <v>415</v>
      </c>
      <c r="E309" s="269" t="s">
        <v>409</v>
      </c>
      <c r="F309" s="269"/>
      <c r="G309" s="268" t="s">
        <v>81</v>
      </c>
      <c r="H309" s="268" t="s">
        <v>143</v>
      </c>
      <c r="I309" s="268" t="s">
        <v>144</v>
      </c>
      <c r="J309" s="268" t="s">
        <v>145</v>
      </c>
      <c r="K309" s="268" t="s">
        <v>146</v>
      </c>
      <c r="L309" s="73"/>
    </row>
    <row r="310" spans="2:12" ht="13.5" thickBot="1">
      <c r="B310" s="38" t="s">
        <v>416</v>
      </c>
      <c r="C310" s="63">
        <f>Assumptions!E139</f>
        <v>0.03</v>
      </c>
      <c r="D310" s="318">
        <f>C310*$C$14</f>
        <v>0</v>
      </c>
      <c r="E310" s="285" t="str">
        <f>C13</f>
        <v>Select make and model</v>
      </c>
      <c r="F310" s="269"/>
      <c r="G310" s="48">
        <f>Scrap_steel_rate*kilograms_in_tonnes</f>
        <v>200</v>
      </c>
      <c r="H310" s="72"/>
      <c r="I310" s="49">
        <f>IF(H310="",G310,H310)</f>
        <v>200</v>
      </c>
      <c r="J310" s="244" t="s">
        <v>318</v>
      </c>
      <c r="K310" s="46">
        <f>D310*I310</f>
        <v>0</v>
      </c>
      <c r="L310" s="73"/>
    </row>
    <row r="311" spans="2:12" ht="13" thickTop="1">
      <c r="C311" s="255"/>
      <c r="D311" s="255"/>
      <c r="L311" s="73"/>
    </row>
    <row r="312" spans="2:12" ht="13">
      <c r="H312" s="270" t="s">
        <v>417</v>
      </c>
      <c r="I312" s="49">
        <f>IF($C$14=0,0,K312/$C$14)</f>
        <v>0</v>
      </c>
      <c r="J312" s="271" t="s">
        <v>211</v>
      </c>
      <c r="K312" s="36">
        <f>SUM(K309:K311)</f>
        <v>0</v>
      </c>
      <c r="L312" s="73"/>
    </row>
    <row r="313" spans="2:12" ht="13">
      <c r="H313" s="270"/>
      <c r="I313" s="64"/>
      <c r="L313" s="73"/>
    </row>
    <row r="314" spans="2:12" ht="13">
      <c r="B314" s="266" t="s">
        <v>115</v>
      </c>
      <c r="C314" s="268" t="s">
        <v>418</v>
      </c>
      <c r="D314" s="267" t="s">
        <v>415</v>
      </c>
      <c r="E314" s="269" t="s">
        <v>132</v>
      </c>
      <c r="F314" s="269"/>
      <c r="G314" s="268" t="s">
        <v>81</v>
      </c>
      <c r="H314" s="268" t="s">
        <v>143</v>
      </c>
      <c r="I314" s="268" t="s">
        <v>144</v>
      </c>
      <c r="J314" s="268" t="s">
        <v>145</v>
      </c>
      <c r="K314" s="268" t="s">
        <v>146</v>
      </c>
      <c r="L314" s="73"/>
    </row>
    <row r="315" spans="2:12" ht="13">
      <c r="B315" s="65" t="str">
        <f t="shared" ref="B315:B323" si="25">E25</f>
        <v>DC Cables - string - 4mm2</v>
      </c>
      <c r="C315" s="66">
        <f>C25</f>
        <v>0</v>
      </c>
      <c r="D315" s="320">
        <f>C315*_xlfn.XLOOKUP(B315,Electrical_cables_names_Ass,Assumptions!$E$35:$E$85)</f>
        <v>0</v>
      </c>
      <c r="E315" s="77"/>
      <c r="F315" s="77" t="s">
        <v>419</v>
      </c>
      <c r="G315" s="39">
        <f t="shared" ref="G315:G323" si="26">IF(F315=Aluminium,Scrap_aluminium_and_alloy_rate,Scrap_copper_and_alloy_rate)*kilograms_in_tonnes</f>
        <v>5000</v>
      </c>
      <c r="H315" s="72"/>
      <c r="I315" s="49">
        <f t="shared" ref="I315" si="27">IF(H315="",G315,H315)</f>
        <v>5000</v>
      </c>
      <c r="K315" s="46">
        <f>D315*I315</f>
        <v>0</v>
      </c>
      <c r="L315" s="73"/>
    </row>
    <row r="316" spans="2:12" ht="13">
      <c r="B316" s="65" t="str">
        <f t="shared" si="25"/>
        <v>DC Cables - string - 6mm2</v>
      </c>
      <c r="C316" s="66">
        <f t="shared" ref="C316:C323" si="28">C26</f>
        <v>0</v>
      </c>
      <c r="D316" s="320">
        <f>C316*_xlfn.XLOOKUP(B316,Electrical_cables_names_Ass,Assumptions!$E$35:$E$85)</f>
        <v>0</v>
      </c>
      <c r="E316" s="77"/>
      <c r="F316" s="77" t="s">
        <v>419</v>
      </c>
      <c r="G316" s="39">
        <f t="shared" si="26"/>
        <v>5000</v>
      </c>
      <c r="H316" s="72"/>
      <c r="I316" s="49">
        <f t="shared" ref="I316:I323" si="29">IF(H316="",G316,H316)</f>
        <v>5000</v>
      </c>
      <c r="K316" s="46">
        <f t="shared" ref="K316:K323" si="30">D316*I316</f>
        <v>0</v>
      </c>
      <c r="L316" s="73"/>
    </row>
    <row r="317" spans="2:12" ht="13">
      <c r="B317" s="65" t="str">
        <f t="shared" si="25"/>
        <v>DC Cables - feeder - single core 35mm2 above ground</v>
      </c>
      <c r="C317" s="66">
        <f t="shared" si="28"/>
        <v>0</v>
      </c>
      <c r="D317" s="320">
        <f>C317*_xlfn.XLOOKUP(B317,Electrical_cables_names_Ass,Assumptions!$E$35:$E$85)</f>
        <v>0</v>
      </c>
      <c r="E317" s="77"/>
      <c r="F317" s="77" t="s">
        <v>419</v>
      </c>
      <c r="G317" s="39">
        <f t="shared" si="26"/>
        <v>5000</v>
      </c>
      <c r="H317" s="72"/>
      <c r="I317" s="49">
        <f t="shared" si="29"/>
        <v>5000</v>
      </c>
      <c r="K317" s="46">
        <f t="shared" si="30"/>
        <v>0</v>
      </c>
      <c r="L317" s="73"/>
    </row>
    <row r="318" spans="2:12" ht="13">
      <c r="B318" s="65" t="str">
        <f t="shared" si="25"/>
        <v>DC Cables - feeder - single core 35mm2 above ground</v>
      </c>
      <c r="C318" s="66">
        <f t="shared" si="28"/>
        <v>0</v>
      </c>
      <c r="D318" s="320">
        <f>C318*_xlfn.XLOOKUP(B318,Electrical_cables_names_Ass,Assumptions!$E$35:$E$85)</f>
        <v>0</v>
      </c>
      <c r="E318" s="77"/>
      <c r="F318" s="77" t="s">
        <v>419</v>
      </c>
      <c r="G318" s="39">
        <f t="shared" si="26"/>
        <v>5000</v>
      </c>
      <c r="H318" s="72"/>
      <c r="I318" s="49">
        <f t="shared" si="29"/>
        <v>5000</v>
      </c>
      <c r="K318" s="46">
        <f t="shared" si="30"/>
        <v>0</v>
      </c>
      <c r="L318" s="73"/>
    </row>
    <row r="319" spans="2:12" ht="13">
      <c r="B319" s="65" t="str">
        <f t="shared" si="25"/>
        <v>DC Cables - feeder - single core 185mm2 above ground</v>
      </c>
      <c r="C319" s="66">
        <f t="shared" si="28"/>
        <v>0</v>
      </c>
      <c r="D319" s="320">
        <f>C319*_xlfn.XLOOKUP(B319,Electrical_cables_names_Ass,Assumptions!$E$35:$E$85)</f>
        <v>0</v>
      </c>
      <c r="E319" s="77"/>
      <c r="F319" s="77" t="s">
        <v>419</v>
      </c>
      <c r="G319" s="39">
        <f t="shared" si="26"/>
        <v>5000</v>
      </c>
      <c r="H319" s="72"/>
      <c r="I319" s="49">
        <f t="shared" si="29"/>
        <v>5000</v>
      </c>
      <c r="K319" s="46">
        <f t="shared" si="30"/>
        <v>0</v>
      </c>
      <c r="L319" s="73"/>
    </row>
    <row r="320" spans="2:12" ht="13">
      <c r="B320" s="65" t="str">
        <f t="shared" si="25"/>
        <v>DC Cables - feeder - single core 630mm3 above ground</v>
      </c>
      <c r="C320" s="66">
        <f t="shared" si="28"/>
        <v>0</v>
      </c>
      <c r="D320" s="320">
        <f>C320*_xlfn.XLOOKUP(B320,Electrical_cables_names_Ass,Assumptions!$E$35:$E$85)</f>
        <v>0</v>
      </c>
      <c r="E320" s="77"/>
      <c r="F320" s="77" t="s">
        <v>419</v>
      </c>
      <c r="G320" s="39">
        <f t="shared" si="26"/>
        <v>5000</v>
      </c>
      <c r="H320" s="72"/>
      <c r="I320" s="49">
        <f t="shared" si="29"/>
        <v>5000</v>
      </c>
      <c r="K320" s="46">
        <f t="shared" si="30"/>
        <v>0</v>
      </c>
      <c r="L320" s="73"/>
    </row>
    <row r="321" spans="2:12" ht="13">
      <c r="B321" s="65" t="str">
        <f t="shared" si="25"/>
        <v>AC Low Voltage Cable</v>
      </c>
      <c r="C321" s="66">
        <f t="shared" si="28"/>
        <v>0</v>
      </c>
      <c r="D321" s="320">
        <f>C321*_xlfn.XLOOKUP(B321,Electrical_cables_names_Ass,Assumptions!$E$35:$E$85)</f>
        <v>0</v>
      </c>
      <c r="E321" s="77"/>
      <c r="F321" s="77" t="s">
        <v>419</v>
      </c>
      <c r="G321" s="39">
        <f t="shared" si="26"/>
        <v>5000</v>
      </c>
      <c r="H321" s="72"/>
      <c r="I321" s="49">
        <f t="shared" si="29"/>
        <v>5000</v>
      </c>
      <c r="K321" s="46">
        <f t="shared" si="30"/>
        <v>0</v>
      </c>
      <c r="L321" s="73"/>
    </row>
    <row r="322" spans="2:12" ht="13">
      <c r="B322" s="65" t="str">
        <f t="shared" si="25"/>
        <v>AC medium Voltage Cable</v>
      </c>
      <c r="C322" s="66">
        <f t="shared" si="28"/>
        <v>0</v>
      </c>
      <c r="D322" s="320">
        <f>C322*_xlfn.XLOOKUP(B322,Electrical_cables_names_Ass,Assumptions!$E$35:$E$85)</f>
        <v>0</v>
      </c>
      <c r="E322" s="77"/>
      <c r="F322" s="77" t="s">
        <v>420</v>
      </c>
      <c r="G322" s="39">
        <f t="shared" si="26"/>
        <v>2500</v>
      </c>
      <c r="H322" s="72"/>
      <c r="I322" s="49">
        <f t="shared" si="29"/>
        <v>2500</v>
      </c>
      <c r="K322" s="46">
        <f t="shared" si="30"/>
        <v>0</v>
      </c>
      <c r="L322" s="73"/>
    </row>
    <row r="323" spans="2:12" ht="13">
      <c r="B323" s="65" t="str">
        <f t="shared" si="25"/>
        <v>Fibre/Control Cable - 0.75mm2</v>
      </c>
      <c r="C323" s="66">
        <f t="shared" si="28"/>
        <v>0</v>
      </c>
      <c r="D323" s="320">
        <f>C323*_xlfn.XLOOKUP(B323,Electrical_cables_names_Ass,Assumptions!$E$35:$E$85)</f>
        <v>0</v>
      </c>
      <c r="E323" s="77"/>
      <c r="F323" s="77" t="s">
        <v>419</v>
      </c>
      <c r="G323" s="39">
        <f t="shared" si="26"/>
        <v>5000</v>
      </c>
      <c r="H323" s="72"/>
      <c r="I323" s="49">
        <f t="shared" si="29"/>
        <v>5000</v>
      </c>
      <c r="K323" s="46">
        <f t="shared" si="30"/>
        <v>0</v>
      </c>
      <c r="L323" s="73"/>
    </row>
    <row r="324" spans="2:12" ht="13">
      <c r="B324" s="81" t="s">
        <v>348</v>
      </c>
      <c r="C324" s="87"/>
      <c r="D324" s="87"/>
      <c r="E324" s="77"/>
      <c r="F324" s="77" t="s">
        <v>419</v>
      </c>
      <c r="G324" s="39">
        <f t="shared" ref="G324:G327" si="31">IF(F324=Aluminium,Scrap_aluminium_and_alloy_rate,Scrap_copper_and_alloy_rate)*kilograms_in_tonnes</f>
        <v>5000</v>
      </c>
      <c r="H324" s="72"/>
      <c r="I324" s="49">
        <f t="shared" ref="I324:I325" si="32">IF(H324="",G324,H324)</f>
        <v>5000</v>
      </c>
      <c r="K324" s="46">
        <f t="shared" ref="K324:K325" si="33">D324*I324</f>
        <v>0</v>
      </c>
      <c r="L324" s="73"/>
    </row>
    <row r="325" spans="2:12" ht="13">
      <c r="B325" s="81" t="s">
        <v>348</v>
      </c>
      <c r="C325" s="87"/>
      <c r="D325" s="87"/>
      <c r="E325" s="77"/>
      <c r="F325" s="77" t="s">
        <v>420</v>
      </c>
      <c r="G325" s="39">
        <f t="shared" si="31"/>
        <v>2500</v>
      </c>
      <c r="H325" s="72"/>
      <c r="I325" s="49">
        <f t="shared" si="32"/>
        <v>2500</v>
      </c>
      <c r="K325" s="46">
        <f t="shared" si="33"/>
        <v>0</v>
      </c>
      <c r="L325" s="73"/>
    </row>
    <row r="326" spans="2:12" ht="13">
      <c r="B326" s="81" t="s">
        <v>348</v>
      </c>
      <c r="C326" s="87"/>
      <c r="D326" s="87"/>
      <c r="E326" s="77"/>
      <c r="F326" s="77" t="s">
        <v>419</v>
      </c>
      <c r="G326" s="39">
        <f t="shared" si="31"/>
        <v>5000</v>
      </c>
      <c r="H326" s="72"/>
      <c r="I326" s="49">
        <f t="shared" ref="I326:I327" si="34">IF(H326="",G326,H326)</f>
        <v>5000</v>
      </c>
      <c r="K326" s="46">
        <f t="shared" ref="K326:K327" si="35">D326*I326</f>
        <v>0</v>
      </c>
      <c r="L326" s="73"/>
    </row>
    <row r="327" spans="2:12" ht="13">
      <c r="B327" s="81" t="s">
        <v>348</v>
      </c>
      <c r="C327" s="87"/>
      <c r="D327" s="87"/>
      <c r="E327" s="77"/>
      <c r="F327" s="77" t="s">
        <v>420</v>
      </c>
      <c r="G327" s="39">
        <f t="shared" si="31"/>
        <v>2500</v>
      </c>
      <c r="H327" s="72"/>
      <c r="I327" s="49">
        <f t="shared" si="34"/>
        <v>2500</v>
      </c>
      <c r="K327" s="46">
        <f t="shared" si="35"/>
        <v>0</v>
      </c>
      <c r="L327" s="73"/>
    </row>
    <row r="328" spans="2:12">
      <c r="L328" s="73"/>
    </row>
    <row r="329" spans="2:12" s="263" customFormat="1" ht="13">
      <c r="B329" s="256" t="s">
        <v>85</v>
      </c>
      <c r="C329" s="320">
        <f>SUM(C315:C328)</f>
        <v>0</v>
      </c>
      <c r="D329" s="320">
        <f>SUM(D315:D328)</f>
        <v>0</v>
      </c>
      <c r="E329" s="244"/>
      <c r="F329" s="276"/>
      <c r="H329" s="270" t="s">
        <v>421</v>
      </c>
      <c r="I329" s="40">
        <f>IF($C$14=0,0,K329/$C$14)</f>
        <v>0</v>
      </c>
      <c r="J329" s="281" t="s">
        <v>211</v>
      </c>
      <c r="K329" s="36">
        <f>SUM(K314:K328)</f>
        <v>0</v>
      </c>
      <c r="L329" s="82"/>
    </row>
    <row r="330" spans="2:12" ht="13">
      <c r="F330" s="269"/>
    </row>
  </sheetData>
  <sheetProtection algorithmName="SHA-512" hashValue="0ePHxImxdYifEKaPGkW2rNtu2pX/hMIKfOl7VYsaXDQ6Gz4anMRS2Q2CN5zJCvTbScPl9VZO3mZl3elC76tw9g==" saltValue="d+V6uCU4HXy4q8iXYvXSSg==" spinCount="100000" sheet="1" objects="1" scenarios="1" autoFilter="0"/>
  <phoneticPr fontId="8" type="noConversion"/>
  <dataValidations count="47">
    <dataValidation type="list" allowBlank="1" showInputMessage="1" showErrorMessage="1" sqref="E157 E173 E254" xr:uid="{BCF312F3-98FA-4487-987E-A26D615B15C9}">
      <formula1>Load_haul_dump_soil_ameliorants_from_off_site_names_UR</formula1>
    </dataValidation>
    <dataValidation type="list" allowBlank="1" showInputMessage="1" showErrorMessage="1" sqref="E197 E236 E246 E207 E256" xr:uid="{E10A1815-313C-47CF-BA62-72AFC348AF87}">
      <formula1>Waste_levy_names</formula1>
    </dataValidation>
    <dataValidation type="list" allowBlank="1" showInputMessage="1" showErrorMessage="1" sqref="E172" xr:uid="{94E69D37-1922-4465-AF67-C15097B3B99D}">
      <formula1>Ameliorants_names</formula1>
    </dataValidation>
    <dataValidation type="list" allowBlank="1" showInputMessage="1" showErrorMessage="1" sqref="E128 E138" xr:uid="{CCED0EE6-7B27-4ED3-A116-7CEB0F3E2584}">
      <formula1>Buildings_by_area_names_UR</formula1>
    </dataValidation>
    <dataValidation type="list" allowBlank="1" showInputMessage="1" showErrorMessage="1" sqref="E79:E96" xr:uid="{A5EB0F57-2637-443D-96F7-60866C57E034}">
      <formula1>Roads_tracks_laydown_list_UR</formula1>
    </dataValidation>
    <dataValidation type="list" allowBlank="1" showInputMessage="1" showErrorMessage="1" sqref="E155" xr:uid="{3A14B44A-C83C-4A4E-B34A-E2300591E5D6}">
      <formula1>Load_haul_dump_growth_media_onsite_names_UR</formula1>
    </dataValidation>
    <dataValidation type="list" allowBlank="1" showInputMessage="1" showErrorMessage="1" sqref="E187" xr:uid="{FD797647-B9D3-44E3-9B1B-598004A88379}">
      <formula1>Revegetation_names_UR</formula1>
    </dataValidation>
    <dataValidation type="list" allowBlank="1" showInputMessage="1" showErrorMessage="1" sqref="E70 E195 E205" xr:uid="{B9191D96-2FF7-42C6-BA2E-258D6117F9EA}">
      <formula1>Panels_haul_unload_names_UR</formula1>
    </dataValidation>
    <dataValidation type="list" allowBlank="1" showInputMessage="1" showErrorMessage="1" sqref="E244" xr:uid="{28FAEAE2-29BD-4817-98C3-CFA4BFDF3541}">
      <formula1>Long_haul_names_steel_UR</formula1>
    </dataValidation>
    <dataValidation type="list" allowBlank="1" showInputMessage="1" showErrorMessage="1" sqref="E234" xr:uid="{6D38FD77-ADBC-40F8-A4F2-9347D6F111EB}">
      <formula1>Long_haul_names_concrete_UR</formula1>
    </dataValidation>
    <dataValidation type="list" allowBlank="1" showInputMessage="1" showErrorMessage="1" sqref="E35:E37" xr:uid="{EE704C4F-B577-4A8F-8429-BED21970900E}">
      <formula1>Cable_drums_haul_unload_names_UR</formula1>
    </dataValidation>
    <dataValidation type="list" allowBlank="1" showInputMessage="1" showErrorMessage="1" sqref="E34" xr:uid="{D2B816B1-A4D4-4D39-8773-8750250857BC}">
      <formula1>Copper_cables_haul_unload_names_UR</formula1>
    </dataValidation>
    <dataValidation type="list" allowBlank="1" showInputMessage="1" showErrorMessage="1" sqref="E262" xr:uid="{7FA3D180-11AF-4632-BD21-7F9DD12ED0B0}">
      <formula1>Mobe_names_solar_CS</formula1>
    </dataValidation>
    <dataValidation type="list" allowBlank="1" showInputMessage="1" showErrorMessage="1" sqref="E263" xr:uid="{D7556BA7-148C-4EC5-80B2-F36C6A17048B}">
      <formula1>Mobe_names_electrical_CS</formula1>
    </dataValidation>
    <dataValidation type="list" allowBlank="1" showInputMessage="1" showErrorMessage="1" sqref="E264" xr:uid="{2A0766AE-50AA-4A3F-8D6E-EAB5106DBD0D}">
      <formula1>Mobe_names_land_CS</formula1>
    </dataValidation>
    <dataValidation type="custom" operator="equal" allowBlank="1" showInputMessage="1" showErrorMessage="1" error="Please enter a numeric value. " sqref="C14" xr:uid="{651BAD20-4EEF-4B1E-B887-01A8EC799680}">
      <formula1>ISNUMBER(C14)</formula1>
    </dataValidation>
    <dataValidation type="custom" allowBlank="1" showInputMessage="1" showErrorMessage="1" error="Please enter a numeric value." sqref="C11:C12 H49:H50 H62:H63 H116:H117 H223:H225 H18" xr:uid="{6D9A20B2-92D2-4ABC-9B17-BAE3B2761AD8}">
      <formula1>ISNUMBER(C11:C12)</formula1>
    </dataValidation>
    <dataValidation type="custom" allowBlank="1" showInputMessage="1" showErrorMessage="1" error="Please enter a numeric value. " sqref="C280:C285 C33" xr:uid="{2BF49B8D-923C-4D4D-B81D-2E7E78763DAE}">
      <formula1>ISNUMBER(C33:C38)</formula1>
    </dataValidation>
    <dataValidation type="custom" allowBlank="1" showInputMessage="1" showErrorMessage="1" error="Please enter a numeric value. " sqref="C43 C69 C252 C193 C232 C242 C203" xr:uid="{E504B9E3-CB67-4EC2-A5D3-89B650F32410}">
      <formula1>ISNUMBER(C43)</formula1>
    </dataValidation>
    <dataValidation type="custom" allowBlank="1" showInputMessage="1" showErrorMessage="1" error="Please enter a numeric value. " sqref="C49:C50 C62:C63 C116:C117 C18" xr:uid="{2A2F56FF-B804-471A-A27D-00411562C8CE}">
      <formula1>ISNUMBER(C18:C19)</formula1>
    </dataValidation>
    <dataValidation type="custom" allowBlank="1" showInputMessage="1" showErrorMessage="1" error="Please enter a numeric value. " sqref="C270:C274 C133:C137" xr:uid="{CC7D9983-114A-467A-8639-4FD803834DAD}">
      <formula1>ISNUMBER(C133:C137)</formula1>
    </dataValidation>
    <dataValidation type="custom" allowBlank="1" showInputMessage="1" showErrorMessage="1" error="Please enter a numeric value. " sqref="C79:C96" xr:uid="{F14C7F19-52FE-4194-8EAC-983B94807476}">
      <formula1>ISNUMBER(C79:C96)</formula1>
    </dataValidation>
    <dataValidation type="custom" allowBlank="1" showInputMessage="1" showErrorMessage="1" error="Please enter a numeric value. " sqref="C102:C110 C213:C214" xr:uid="{0B18419A-5ECF-4CD4-858D-205575A85001}">
      <formula1>ISNUMBER(C102:C110)</formula1>
    </dataValidation>
    <dataValidation type="custom" allowBlank="1" showInputMessage="1" showErrorMessage="1" error="Please enter a numeric value. " sqref="C143:C154" xr:uid="{2F36CFB6-7F24-4757-BE28-D9EFF1216AD2}">
      <formula1>ISNUMBER(C143:C154)</formula1>
    </dataValidation>
    <dataValidation type="custom" allowBlank="1" showInputMessage="1" showErrorMessage="1" error="Please enter a numeric value. " sqref="C180:C186 C163:C169" xr:uid="{7E36F5D9-D669-4A8E-B843-F04C3DF8A4FB}">
      <formula1>ISNUMBER(C163:C169)</formula1>
    </dataValidation>
    <dataValidation type="custom" allowBlank="1" showInputMessage="1" showErrorMessage="1" error="Please enter a numeric value. " sqref="C262:C264" xr:uid="{0C6B4AE8-ADDE-43AC-B27A-439820ECD467}">
      <formula1>ISNUMBER(C262:C264)</formula1>
    </dataValidation>
    <dataValidation type="decimal" allowBlank="1" showInputMessage="1" showErrorMessage="1" error="Please enter a valid percentage." sqref="D291:D293" xr:uid="{3E960A69-C932-41AA-8A4B-1737CE01A8B9}">
      <formula1>0</formula1>
      <formula2>100</formula2>
    </dataValidation>
    <dataValidation type="custom" allowBlank="1" showInputMessage="1" showErrorMessage="1" error="Please enter a numeric value." sqref="G305 H43 H187 H310" xr:uid="{A4359707-2734-4AF3-AA98-DD0317FA1302}">
      <formula1>ISNUMBER(G43)</formula1>
    </dataValidation>
    <dataValidation type="custom" allowBlank="1" showInputMessage="1" showErrorMessage="1" error="Please enter a numeric value." sqref="C27:C28 H31 H33:H37" xr:uid="{45698B9E-BE99-4220-B396-06C2CA7F2E89}">
      <formula1>ISNUMBER(C27:C36)</formula1>
    </dataValidation>
    <dataValidation type="custom" allowBlank="1" showInputMessage="1" showErrorMessage="1" error="Please enter a numeric value." sqref="H69:H73 H301:H305 H123:H127 H270:H274 C123:C127 H133:H137" xr:uid="{858F77E1-F033-4E69-B700-E9893BDE9580}">
      <formula1>ISNUMBER(C69:C73)</formula1>
    </dataValidation>
    <dataValidation type="custom" allowBlank="1" showInputMessage="1" showErrorMessage="1" error="Please enter a numeric value." sqref="H79:H96" xr:uid="{51D096EF-0822-4FF4-88C1-C0E7E6EF91F4}">
      <formula1>ISNUMBER(H79:H96)</formula1>
    </dataValidation>
    <dataValidation type="custom" allowBlank="1" showInputMessage="1" showErrorMessage="1" error="Please enter a numeric value." sqref="H102:H110 C29:C30 H32" xr:uid="{EA10C023-8563-4B57-B9A3-F75059A1A5CF}">
      <formula1>ISNUMBER(C29:C37)</formula1>
    </dataValidation>
    <dataValidation type="custom" allowBlank="1" showInputMessage="1" showErrorMessage="1" error="Please enter a numeric value." sqref="H155:H157 H172:H174 H195:H197 H205:H207 H234:H236 H244:H246 H254:H256 H262:H264 H291:H293" xr:uid="{AA806A78-7191-473C-AC5F-CB29E1D2C25D}">
      <formula1>ISNUMBER(H155:H157)</formula1>
    </dataValidation>
    <dataValidation type="custom" allowBlank="1" showInputMessage="1" showErrorMessage="1" error="Please enter a numeric value." sqref="H280:H285" xr:uid="{1337A3F6-32B4-4D36-8D14-05A250F067D8}">
      <formula1>ISNUMBER(H280:H285)</formula1>
    </dataValidation>
    <dataValidation type="custom" allowBlank="1" showInputMessage="1" showErrorMessage="1" error="Please enter a numeric value. " sqref="C215:C219" xr:uid="{C291A71F-BBAF-4387-862E-B85AB98452DB}">
      <formula1>ISNUMBER(C215:C224)</formula1>
    </dataValidation>
    <dataValidation type="custom" allowBlank="1" showInputMessage="1" showErrorMessage="1" error="Please enter a numeric value. " sqref="C220:C221" xr:uid="{A4D5E038-A12F-420D-A1CE-34DDBC12CABA}">
      <formula1>ISNUMBER(C220:C230)</formula1>
    </dataValidation>
    <dataValidation type="custom" allowBlank="1" showInputMessage="1" showErrorMessage="1" error="Please enter a numeric value." sqref="C31:C32" xr:uid="{B2322652-4DE0-4612-80C9-36507D56C826}">
      <formula1>ISNUMBER(C31:C38)</formula1>
    </dataValidation>
    <dataValidation type="custom" allowBlank="1" showInputMessage="1" showErrorMessage="1" error="Please enter a numeric value." sqref="H29:H30 C25:C26 H324:H327" xr:uid="{81BCF9D2-18E1-4A04-9B98-40B71B8B2B0A}">
      <formula1>ISNUMBER(C25:C35)</formula1>
    </dataValidation>
    <dataValidation type="custom" allowBlank="1" showInputMessage="1" showErrorMessage="1" error="Please enter a numeric value." sqref="H27:H28" xr:uid="{4C478E6B-CBE2-4819-AA5E-D22090433D89}">
      <formula1>ISNUMBER(H27:H38)</formula1>
    </dataValidation>
    <dataValidation type="custom" allowBlank="1" showInputMessage="1" showErrorMessage="1" error="Please enter a numeric value." sqref="H25:H26 H315:H323" xr:uid="{B0664F3C-C055-4672-9FCE-8245F6FE2027}">
      <formula1>ISNUMBER(H25:H37)</formula1>
    </dataValidation>
    <dataValidation type="custom" allowBlank="1" showInputMessage="1" showErrorMessage="1" error="Please enter a numeric value." sqref="D324:D326 C324 C326" xr:uid="{0943918F-101A-4169-9A63-032C3E383301}">
      <formula1>ISNUMBER(C324:D327)</formula1>
    </dataValidation>
    <dataValidation type="custom" allowBlank="1" showInputMessage="1" showErrorMessage="1" error="Please enter a numeric value." sqref="C325 C327:D327" xr:uid="{9D957376-49E1-41A8-B90F-9001713AED5D}">
      <formula1>ISNUMBER(C325:D329)</formula1>
    </dataValidation>
    <dataValidation type="list" allowBlank="1" showInputMessage="1" showErrorMessage="1" sqref="F315:F327" xr:uid="{40073341-9DE1-4D6A-9058-201E66ABA7BC}">
      <formula1>Electrical_cable_material</formula1>
    </dataValidation>
    <dataValidation type="custom" allowBlank="1" showInputMessage="1" showErrorMessage="1" error="Please enter a numeric value. " sqref="C56" xr:uid="{C8C0B555-2296-4343-AD60-BDB305620392}">
      <formula1>ISNUMBER(C56:C56)</formula1>
    </dataValidation>
    <dataValidation type="custom" allowBlank="1" showInputMessage="1" showErrorMessage="1" error="Please enter a numeric value." sqref="H56" xr:uid="{959DBBEB-A7C3-4569-8924-5D341AC0F0A1}">
      <formula1>ISNUMBER(H56:H56)</formula1>
    </dataValidation>
    <dataValidation type="custom" allowBlank="1" showInputMessage="1" showErrorMessage="1" error="Please enter a numeric value. " sqref="C19" xr:uid="{A07859ED-21D7-4762-BF37-379DB94A5F13}">
      <formula1>ISNUMBER(C19:C22)</formula1>
    </dataValidation>
    <dataValidation type="custom" allowBlank="1" showInputMessage="1" showErrorMessage="1" error="Please enter a numeric value." sqref="H19" xr:uid="{5EEB09FE-24CC-412F-BCE3-E2BC9FE99FAF}">
      <formula1>ISNUMBER(H19:H22)</formula1>
    </dataValidation>
  </dataValidations>
  <hyperlinks>
    <hyperlink ref="B4" location="Information" display="Return to Information" xr:uid="{884A20FA-9C12-48B5-A29D-FCA8233A6C0D}"/>
    <hyperlink ref="B6" location="Summary_Solar" display="Summary Page" xr:uid="{5D2EDD4F-1293-4137-8C1D-A31F5FBCF75C}"/>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E44F5E0-C16B-4916-9409-0D48AC8E6BC3}">
          <x14:formula1>
            <xm:f>Rates!$B$114:$B$115</xm:f>
          </x14:formula1>
          <xm:sqref>E255</xm:sqref>
        </x14:dataValidation>
        <x14:dataValidation type="list" allowBlank="1" showInputMessage="1" showErrorMessage="1" xr:uid="{78D0F452-39FD-4ED0-B951-E188DDD6F3DE}">
          <x14:formula1>
            <xm:f>Lists!$B$164:$B$166</xm:f>
          </x14:formula1>
          <xm:sqref>F102:F110 F116:F117</xm:sqref>
        </x14:dataValidation>
        <x14:dataValidation type="list" allowBlank="1" showInputMessage="1" showErrorMessage="1" xr:uid="{04BCE275-B535-4DE7-8F7F-4254322E9237}">
          <x14:formula1>
            <xm:f>Lists!$B$33:$B$35</xm:f>
          </x14:formula1>
          <xm:sqref>F79:F96</xm:sqref>
        </x14:dataValidation>
        <x14:dataValidation type="list" allowBlank="1" showInputMessage="1" showErrorMessage="1" xr:uid="{075B412C-9F87-4B97-88EE-C054E98D7F36}">
          <x14:formula1>
            <xm:f>'Cost Schedule'!$B$222:$B$224</xm:f>
          </x14:formula1>
          <xm:sqref>E102:E110</xm:sqref>
        </x14:dataValidation>
        <x14:dataValidation type="list" allowBlank="1" showInputMessage="1" showErrorMessage="1" xr:uid="{2D1B4958-BF53-4E89-A741-6DE45D2B9F92}">
          <x14:formula1>
            <xm:f>'Cost Schedule'!$B$6:$B$8</xm:f>
          </x14:formula1>
          <xm:sqref>E116:E117</xm:sqref>
        </x14:dataValidation>
        <x14:dataValidation type="list" allowBlank="1" showInputMessage="1" showErrorMessage="1" xr:uid="{56D3562D-0572-4439-B24F-2DBDD2A97B54}">
          <x14:formula1>
            <xm:f>Assumptions!$B$74:$B$78</xm:f>
          </x14:formula1>
          <xm:sqref>E33</xm:sqref>
        </x14:dataValidation>
        <x14:dataValidation type="list" allowBlank="1" showInputMessage="1" showErrorMessage="1" xr:uid="{312B6048-6D85-437B-8E03-FA61164EE083}">
          <x14:formula1>
            <xm:f>'Cost Schedule'!$B$30:$B$34</xm:f>
          </x14:formula1>
          <xm:sqref>E123:E127</xm:sqref>
        </x14:dataValidation>
        <x14:dataValidation type="list" allowBlank="1" showInputMessage="1" showErrorMessage="1" xr:uid="{954C3409-E6E5-4598-9A64-006E1A1EA5B7}">
          <x14:formula1>
            <xm:f>'Cost Schedule'!$B$43:$B$45</xm:f>
          </x14:formula1>
          <xm:sqref>E224</xm:sqref>
        </x14:dataValidation>
        <x14:dataValidation type="list" allowBlank="1" showInputMessage="1" showErrorMessage="1" xr:uid="{3F3C78BD-AD6D-47ED-B1AA-DF784CE7B626}">
          <x14:formula1>
            <xm:f>'Cost Schedule'!$B$436:$B$438</xm:f>
          </x14:formula1>
          <xm:sqref>E56</xm:sqref>
        </x14:dataValidation>
        <x14:dataValidation type="list" allowBlank="1" showInputMessage="1" showErrorMessage="1" xr:uid="{1ED0A332-3C19-4BD0-8FAF-55F624AF4759}">
          <x14:formula1>
            <xm:f>'Cost Schedule'!$B$246:$B$256</xm:f>
          </x14:formula1>
          <xm:sqref>E225 E223</xm:sqref>
        </x14:dataValidation>
        <x14:dataValidation type="list" allowBlank="1" showInputMessage="1" showErrorMessage="1" xr:uid="{E261D785-D97A-4572-8AA1-0CB106A2D84F}">
          <x14:formula1>
            <xm:f>Panels!$B$6:$B$11</xm:f>
          </x14:formula1>
          <xm:sqref>C13</xm:sqref>
        </x14:dataValidation>
        <x14:dataValidation type="list" allowBlank="1" showInputMessage="1" showErrorMessage="1" xr:uid="{06F8C971-2DC3-491E-94B5-5B34BEBDEC7B}">
          <x14:formula1>
            <xm:f>'Cost Schedule'!$B$96:$B$97</xm:f>
          </x14:formula1>
          <xm:sqref>E31:E32</xm:sqref>
        </x14:dataValidation>
        <x14:dataValidation type="list" allowBlank="1" showInputMessage="1" showErrorMessage="1" xr:uid="{CD4B03A4-78D3-4D1E-AC31-DDF27189A446}">
          <x14:formula1>
            <xm:f>'Cost Schedule'!$B$62:$B$78</xm:f>
          </x14:formula1>
          <xm:sqref>E27:E30</xm:sqref>
        </x14:dataValidation>
        <x14:dataValidation type="list" allowBlank="1" showInputMessage="1" showErrorMessage="1" xr:uid="{3E542EEB-536E-42B4-8060-857760D88F9C}">
          <x14:formula1>
            <xm:f>'Cost Schedule'!$B$59:$B$61</xm:f>
          </x14:formula1>
          <xm:sqref>E25:E26</xm:sqref>
        </x14:dataValidation>
        <x14:dataValidation type="list" allowBlank="1" showInputMessage="1" showErrorMessage="1" xr:uid="{01D721E3-0106-4A3F-973B-B9C84249B1B7}">
          <x14:formula1>
            <xm:f>'Cost Schedule'!$B$37:$B$40</xm:f>
          </x14:formula1>
          <xm:sqref>E133:E137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6B9A-2E35-46A1-814C-9989EC0430CE}">
  <sheetPr codeName="Sheet6">
    <tabColor theme="9"/>
  </sheetPr>
  <dimension ref="A2:L355"/>
  <sheetViews>
    <sheetView zoomScaleNormal="100" workbookViewId="0">
      <pane xSplit="4" ySplit="8" topLeftCell="E9" activePane="bottomRight" state="frozen"/>
      <selection pane="topRight" activeCell="E1" sqref="E1"/>
      <selection pane="bottomLeft" activeCell="A10" sqref="A10"/>
      <selection pane="bottomRight"/>
    </sheetView>
  </sheetViews>
  <sheetFormatPr defaultColWidth="9.1796875" defaultRowHeight="12.5"/>
  <cols>
    <col min="1" max="1" width="1.81640625" style="263" customWidth="1"/>
    <col min="2" max="2" width="42.54296875" style="263" customWidth="1"/>
    <col min="3" max="3" width="13.1796875" style="263" customWidth="1"/>
    <col min="4" max="4" width="15" style="263" customWidth="1"/>
    <col min="5" max="5" width="62.1796875" style="263" customWidth="1"/>
    <col min="6" max="6" width="14.81640625" style="263" customWidth="1"/>
    <col min="7" max="7" width="13.54296875" style="263" customWidth="1"/>
    <col min="8" max="8" width="12.54296875" style="263" customWidth="1"/>
    <col min="9" max="9" width="14.7265625" style="263" customWidth="1"/>
    <col min="10" max="10" width="14.81640625" style="263" customWidth="1"/>
    <col min="11" max="11" width="15.1796875" style="263" customWidth="1"/>
    <col min="12" max="12" width="55.26953125" style="263" customWidth="1"/>
    <col min="13" max="16384" width="9.1796875" style="263"/>
  </cols>
  <sheetData>
    <row r="2" spans="1:12" ht="16.5" customHeight="1">
      <c r="B2" s="302" t="str">
        <f>Project_Name</f>
        <v xml:space="preserve">South Australia Hydrogen and Renewable Energy Restoration Cost Estimation Tool </v>
      </c>
      <c r="J2" s="309" t="s">
        <v>127</v>
      </c>
      <c r="K2" s="36">
        <f>F323</f>
        <v>0</v>
      </c>
    </row>
    <row r="3" spans="1:12" ht="3" customHeight="1">
      <c r="J3" s="309"/>
      <c r="K3" s="244"/>
    </row>
    <row r="4" spans="1:12" ht="16.5" customHeight="1">
      <c r="B4" s="37" t="s">
        <v>47</v>
      </c>
      <c r="J4" s="309" t="s">
        <v>128</v>
      </c>
      <c r="K4" s="36">
        <f>K341+K354</f>
        <v>0</v>
      </c>
    </row>
    <row r="5" spans="1:12" ht="3.65" customHeight="1">
      <c r="J5" s="309"/>
      <c r="K5" s="244"/>
    </row>
    <row r="6" spans="1:12" ht="17.25" customHeight="1">
      <c r="B6" s="37" t="s">
        <v>129</v>
      </c>
      <c r="J6" s="309" t="s">
        <v>130</v>
      </c>
      <c r="K6" s="36">
        <f>K2-K4</f>
        <v>0</v>
      </c>
    </row>
    <row r="7" spans="1:12" ht="3.65" customHeight="1"/>
    <row r="8" spans="1:12" ht="17.25" customHeight="1">
      <c r="A8" s="244"/>
      <c r="B8" s="221" t="s">
        <v>422</v>
      </c>
      <c r="C8" s="221"/>
      <c r="D8" s="221"/>
      <c r="E8" s="221"/>
      <c r="F8" s="221"/>
      <c r="G8" s="221"/>
      <c r="H8" s="221"/>
      <c r="I8" s="221"/>
      <c r="J8" s="221"/>
      <c r="K8" s="221"/>
      <c r="L8" s="221" t="s">
        <v>132</v>
      </c>
    </row>
    <row r="9" spans="1:12" ht="13">
      <c r="B9" s="3"/>
      <c r="C9" s="303"/>
      <c r="D9" s="303"/>
      <c r="G9" s="303"/>
      <c r="H9" s="303"/>
      <c r="I9" s="303"/>
      <c r="J9" s="303"/>
      <c r="K9" s="303"/>
      <c r="L9" s="303"/>
    </row>
    <row r="10" spans="1:12" ht="13">
      <c r="A10" s="244"/>
      <c r="B10" s="222" t="s">
        <v>133</v>
      </c>
      <c r="C10" s="222"/>
      <c r="D10" s="222"/>
      <c r="E10" s="222"/>
      <c r="F10" s="222"/>
      <c r="G10" s="222"/>
      <c r="H10" s="222"/>
      <c r="I10" s="222"/>
      <c r="J10" s="222"/>
      <c r="K10" s="222"/>
      <c r="L10" s="222"/>
    </row>
    <row r="11" spans="1:12" ht="13">
      <c r="B11" s="38" t="s">
        <v>134</v>
      </c>
      <c r="C11" s="67"/>
      <c r="D11" s="263" t="s">
        <v>135</v>
      </c>
      <c r="G11" s="303"/>
      <c r="H11" s="303"/>
      <c r="I11" s="303"/>
      <c r="J11" s="303"/>
      <c r="K11" s="303"/>
      <c r="L11" s="82"/>
    </row>
    <row r="12" spans="1:12" ht="13">
      <c r="B12" s="38" t="s">
        <v>88</v>
      </c>
      <c r="C12" s="67"/>
      <c r="D12" s="263" t="s">
        <v>89</v>
      </c>
      <c r="G12" s="303"/>
      <c r="H12" s="303"/>
      <c r="I12" s="303"/>
      <c r="J12" s="303"/>
      <c r="K12" s="303"/>
      <c r="L12" s="82"/>
    </row>
    <row r="13" spans="1:12" ht="40.5" customHeight="1">
      <c r="B13" s="38" t="s">
        <v>423</v>
      </c>
      <c r="C13" s="68" t="s">
        <v>424</v>
      </c>
      <c r="D13" s="244"/>
      <c r="G13" s="303"/>
      <c r="H13" s="303"/>
      <c r="I13" s="303"/>
      <c r="J13" s="303"/>
      <c r="K13" s="303"/>
      <c r="L13" s="82"/>
    </row>
    <row r="14" spans="1:12">
      <c r="B14" s="38" t="s">
        <v>425</v>
      </c>
      <c r="C14" s="69"/>
      <c r="D14" s="263" t="s">
        <v>106</v>
      </c>
      <c r="L14" s="73"/>
    </row>
    <row r="15" spans="1:12">
      <c r="L15" s="73"/>
    </row>
    <row r="16" spans="1:12" ht="13">
      <c r="B16" s="222" t="s">
        <v>140</v>
      </c>
      <c r="C16" s="222"/>
      <c r="D16" s="222"/>
      <c r="E16" s="222"/>
      <c r="F16" s="222"/>
      <c r="G16" s="222"/>
      <c r="H16" s="222"/>
      <c r="I16" s="222"/>
      <c r="J16" s="222"/>
      <c r="K16" s="222"/>
      <c r="L16" s="222"/>
    </row>
    <row r="17" spans="1:12" ht="21.65" customHeight="1">
      <c r="B17" s="272" t="s">
        <v>141</v>
      </c>
      <c r="C17" s="273" t="s">
        <v>142</v>
      </c>
      <c r="D17" s="273" t="s">
        <v>82</v>
      </c>
      <c r="E17" s="303"/>
      <c r="G17" s="275" t="s">
        <v>81</v>
      </c>
      <c r="H17" s="275" t="s">
        <v>143</v>
      </c>
      <c r="I17" s="275" t="s">
        <v>144</v>
      </c>
      <c r="J17" s="275" t="s">
        <v>145</v>
      </c>
      <c r="K17" s="275" t="s">
        <v>146</v>
      </c>
      <c r="L17" s="70"/>
    </row>
    <row r="18" spans="1:12" ht="13">
      <c r="B18" s="38" t="str">
        <f>'Cost Schedule'!B53</f>
        <v>Disconnect grid</v>
      </c>
      <c r="C18" s="71"/>
      <c r="D18" s="263" t="s">
        <v>147</v>
      </c>
      <c r="G18" s="39">
        <f>'Cost Schedule'!C53</f>
        <v>37164.617880143458</v>
      </c>
      <c r="H18" s="72"/>
      <c r="I18" s="40">
        <f>IF(H18="",G18,H18)</f>
        <v>37164.617880143458</v>
      </c>
      <c r="J18" s="263" t="str">
        <f>D18</f>
        <v xml:space="preserve">sites </v>
      </c>
      <c r="K18" s="42">
        <f>I18*C18</f>
        <v>0</v>
      </c>
      <c r="L18" s="73"/>
    </row>
    <row r="19" spans="1:12" ht="13">
      <c r="B19" s="38" t="str">
        <f>'Cost Schedule'!B54</f>
        <v>Wind turbine cable disconnect</v>
      </c>
      <c r="C19" s="71"/>
      <c r="D19" s="263" t="s">
        <v>106</v>
      </c>
      <c r="G19" s="39">
        <f>'Cost Schedule'!C54</f>
        <v>1092.2287350179317</v>
      </c>
      <c r="H19" s="72"/>
      <c r="I19" s="40">
        <f>IF(H19="",G19,H19)</f>
        <v>1092.2287350179317</v>
      </c>
      <c r="J19" s="263" t="str">
        <f t="shared" ref="J19:J20" si="0">D19</f>
        <v>turbines</v>
      </c>
      <c r="K19" s="42">
        <f>I19*C19</f>
        <v>0</v>
      </c>
      <c r="L19" s="73"/>
    </row>
    <row r="20" spans="1:12" ht="13">
      <c r="B20" s="38" t="str">
        <f>'Cost Schedule'!B56</f>
        <v>Diesel generators</v>
      </c>
      <c r="C20" s="71"/>
      <c r="D20" s="263" t="s">
        <v>388</v>
      </c>
      <c r="G20" s="39">
        <f>'Cost Schedule'!C56</f>
        <v>416.27249999999998</v>
      </c>
      <c r="H20" s="72"/>
      <c r="I20" s="40">
        <f>IF(H20="",G20,H20)</f>
        <v>416.27249999999998</v>
      </c>
      <c r="J20" s="263" t="str">
        <f t="shared" si="0"/>
        <v>items</v>
      </c>
      <c r="K20" s="42">
        <f>I20*C20</f>
        <v>0</v>
      </c>
      <c r="L20" s="73"/>
    </row>
    <row r="21" spans="1:12">
      <c r="C21" s="310"/>
      <c r="K21" s="244"/>
      <c r="L21" s="70"/>
    </row>
    <row r="22" spans="1:12" ht="13">
      <c r="B22" s="309" t="s">
        <v>83</v>
      </c>
      <c r="C22" s="43">
        <f>SUM(C17:C21)</f>
        <v>0</v>
      </c>
      <c r="D22" s="263" t="s">
        <v>388</v>
      </c>
      <c r="H22" s="280" t="s">
        <v>149</v>
      </c>
      <c r="I22" s="51">
        <f>IF(C22=0,0,K22/C22)</f>
        <v>0</v>
      </c>
      <c r="J22" s="281" t="s">
        <v>391</v>
      </c>
      <c r="K22" s="44">
        <f>SUM(K17:K21)</f>
        <v>0</v>
      </c>
      <c r="L22" s="73"/>
    </row>
    <row r="23" spans="1:12" ht="13">
      <c r="B23" s="303"/>
      <c r="C23" s="303"/>
      <c r="D23" s="303"/>
      <c r="G23" s="303"/>
      <c r="H23" s="303"/>
      <c r="I23" s="303"/>
      <c r="J23" s="303"/>
      <c r="K23" s="303"/>
      <c r="L23" s="82"/>
    </row>
    <row r="24" spans="1:12" ht="13">
      <c r="A24" s="244"/>
      <c r="B24" s="222" t="s">
        <v>151</v>
      </c>
      <c r="C24" s="222"/>
      <c r="D24" s="222"/>
      <c r="E24" s="222"/>
      <c r="F24" s="222"/>
      <c r="G24" s="222"/>
      <c r="H24" s="222"/>
      <c r="I24" s="222"/>
      <c r="J24" s="222"/>
      <c r="K24" s="222"/>
      <c r="L24" s="222"/>
    </row>
    <row r="25" spans="1:12" ht="26.25" customHeight="1">
      <c r="B25" s="272" t="s">
        <v>141</v>
      </c>
      <c r="C25" s="273" t="s">
        <v>142</v>
      </c>
      <c r="D25" s="273" t="s">
        <v>82</v>
      </c>
      <c r="E25" s="303" t="s">
        <v>152</v>
      </c>
      <c r="G25" s="275" t="s">
        <v>81</v>
      </c>
      <c r="H25" s="275" t="s">
        <v>143</v>
      </c>
      <c r="I25" s="275" t="s">
        <v>144</v>
      </c>
      <c r="J25" s="275" t="s">
        <v>145</v>
      </c>
      <c r="K25" s="275" t="s">
        <v>146</v>
      </c>
      <c r="L25" s="45" t="s">
        <v>153</v>
      </c>
    </row>
    <row r="26" spans="1:12" ht="13">
      <c r="B26" s="38" t="s">
        <v>163</v>
      </c>
      <c r="C26" s="67"/>
      <c r="D26" s="263" t="s">
        <v>155</v>
      </c>
      <c r="E26" s="74" t="s">
        <v>164</v>
      </c>
      <c r="F26" s="276"/>
      <c r="G26" s="39">
        <f>_xlfn.XLOOKUP(E26,'Cost Schedule'!$B$96:$B$97,'Cost Schedule'!$C$96:$C$97)</f>
        <v>810.33265334927273</v>
      </c>
      <c r="H26" s="72"/>
      <c r="I26" s="40">
        <f>IF(H26="",G26,H26)</f>
        <v>810.33265334927273</v>
      </c>
      <c r="J26" s="263" t="s">
        <v>155</v>
      </c>
      <c r="K26" s="46">
        <f>I26*C26</f>
        <v>0</v>
      </c>
      <c r="L26" s="73"/>
    </row>
    <row r="27" spans="1:12" ht="13">
      <c r="B27" s="38" t="s">
        <v>163</v>
      </c>
      <c r="C27" s="67"/>
      <c r="D27" s="263" t="s">
        <v>155</v>
      </c>
      <c r="E27" s="74" t="s">
        <v>165</v>
      </c>
      <c r="F27" s="276"/>
      <c r="G27" s="39">
        <f>_xlfn.XLOOKUP(E27,'Cost Schedule'!$B$59:$B$100,'Cost Schedule'!$C$59:$C$100)</f>
        <v>3646.4969400717273</v>
      </c>
      <c r="H27" s="72"/>
      <c r="I27" s="40">
        <f>IF(H27="",G27,H27)</f>
        <v>3646.4969400717273</v>
      </c>
      <c r="J27" s="263" t="s">
        <v>155</v>
      </c>
      <c r="K27" s="46">
        <f>I27*C27</f>
        <v>0</v>
      </c>
      <c r="L27" s="73"/>
    </row>
    <row r="28" spans="1:12" ht="13">
      <c r="B28" s="38" t="s">
        <v>166</v>
      </c>
      <c r="C28" s="67"/>
      <c r="D28" s="263" t="s">
        <v>155</v>
      </c>
      <c r="E28" s="74" t="s">
        <v>426</v>
      </c>
      <c r="F28" s="276"/>
      <c r="G28" s="39">
        <f>'Cost Schedule'!C95</f>
        <v>18232.484700358636</v>
      </c>
      <c r="H28" s="72"/>
      <c r="I28" s="40">
        <f>IF(H28="",G28,H28)</f>
        <v>18232.484700358636</v>
      </c>
      <c r="J28" s="263" t="s">
        <v>155</v>
      </c>
      <c r="K28" s="46">
        <f>I28*C28</f>
        <v>0</v>
      </c>
      <c r="L28" s="73"/>
    </row>
    <row r="29" spans="1:12" ht="13">
      <c r="B29" s="38" t="s">
        <v>427</v>
      </c>
      <c r="C29" s="67"/>
      <c r="D29" s="263" t="s">
        <v>155</v>
      </c>
      <c r="E29" s="74" t="s">
        <v>428</v>
      </c>
      <c r="F29" s="276"/>
      <c r="G29" s="39">
        <f>'Cost Schedule'!C99</f>
        <v>12409.190512634488</v>
      </c>
      <c r="H29" s="72"/>
      <c r="I29" s="40">
        <f>IF(H29="",G29,H29)</f>
        <v>12409.190512634488</v>
      </c>
      <c r="J29" s="263" t="s">
        <v>155</v>
      </c>
      <c r="K29" s="46">
        <f>I29*C29</f>
        <v>0</v>
      </c>
      <c r="L29" s="73"/>
    </row>
    <row r="30" spans="1:12" ht="13">
      <c r="B30" s="38" t="s">
        <v>429</v>
      </c>
      <c r="C30" s="67"/>
      <c r="D30" s="263" t="s">
        <v>155</v>
      </c>
      <c r="E30" s="74" t="s">
        <v>430</v>
      </c>
      <c r="F30" s="276"/>
      <c r="G30" s="39">
        <f>'Cost Schedule'!C100</f>
        <v>24818.381025268976</v>
      </c>
      <c r="H30" s="72"/>
      <c r="I30" s="40">
        <f>IF(H30="",G30,H30)</f>
        <v>24818.381025268976</v>
      </c>
      <c r="J30" s="263" t="s">
        <v>155</v>
      </c>
      <c r="K30" s="46">
        <f>I30*C30</f>
        <v>0</v>
      </c>
      <c r="L30" s="73"/>
    </row>
    <row r="31" spans="1:12" ht="13">
      <c r="B31" s="38" t="s">
        <v>174</v>
      </c>
      <c r="C31" s="47">
        <f>((C26/_xlfn.XLOOKUP(E26,Electrical_cables_names_Ass,Electrical_cables_km_per_drum_Ass)+C27/_xlfn.XLOOKUP(E27,Electrical_cables_names_Ass,Electrical_cables_km_per_drum_Ass))*_xlfn.XLOOKUP(E31,Cable_drums_haul_unload_names_UR,Cable_drums_haul_unload_distance_avg))</f>
        <v>0</v>
      </c>
      <c r="D31" s="263" t="s">
        <v>172</v>
      </c>
      <c r="E31" s="74" t="s">
        <v>173</v>
      </c>
      <c r="F31" s="276"/>
      <c r="G31" s="48">
        <f>_xlfn.XLOOKUP(E31, Cable_drums_haul_unload_names_UR,Cable_drums_haul_unload_rates_UR)</f>
        <v>7.7374086889657834</v>
      </c>
      <c r="H31" s="72"/>
      <c r="I31" s="49">
        <f t="shared" ref="I31:I34" si="1">IF(H31="",G31,H31)</f>
        <v>7.7374086889657834</v>
      </c>
      <c r="J31" s="263" t="s">
        <v>172</v>
      </c>
      <c r="K31" s="50">
        <f t="shared" ref="K31:K34" si="2">I31*C31</f>
        <v>0</v>
      </c>
      <c r="L31" s="73"/>
    </row>
    <row r="32" spans="1:12" ht="13">
      <c r="B32" s="38" t="s">
        <v>175</v>
      </c>
      <c r="C32" s="47">
        <f>C28/_xlfn.XLOOKUP(E28,Electrical_cables_names_Ass,Electrical_cables_km_per_drum_Ass)*_xlfn.XLOOKUP(E32,Cable_drums_haul_unload_names_UR,Cable_drums_haul_unload_distance_avg)</f>
        <v>0</v>
      </c>
      <c r="D32" s="263" t="s">
        <v>172</v>
      </c>
      <c r="E32" s="74" t="s">
        <v>173</v>
      </c>
      <c r="F32" s="276"/>
      <c r="G32" s="48">
        <f>_xlfn.XLOOKUP(E32, Cable_drums_haul_unload_names_UR,Cable_drums_haul_unload_rates_UR)</f>
        <v>7.7374086889657834</v>
      </c>
      <c r="H32" s="72"/>
      <c r="I32" s="49">
        <f t="shared" si="1"/>
        <v>7.7374086889657834</v>
      </c>
      <c r="J32" s="263" t="s">
        <v>172</v>
      </c>
      <c r="K32" s="50">
        <f>I32*C32</f>
        <v>0</v>
      </c>
      <c r="L32" s="73"/>
    </row>
    <row r="33" spans="1:12" ht="13">
      <c r="B33" s="38" t="s">
        <v>431</v>
      </c>
      <c r="C33" s="47">
        <f>C29/_xlfn.XLOOKUP(E29,Electrical_cables_names_Ass,Electrical_cables_km_per_drum_Ass)*_xlfn.XLOOKUP(E33,Cable_drums_haul_unload_names_UR,Cable_drums_haul_unload_distance_avg)</f>
        <v>0</v>
      </c>
      <c r="D33" s="263" t="s">
        <v>172</v>
      </c>
      <c r="E33" s="74" t="s">
        <v>173</v>
      </c>
      <c r="F33" s="276"/>
      <c r="G33" s="48">
        <f>_xlfn.XLOOKUP(E33, Cable_drums_haul_unload_names_UR,Cable_drums_haul_unload_rates_UR)</f>
        <v>7.7374086889657834</v>
      </c>
      <c r="H33" s="72"/>
      <c r="I33" s="49">
        <f t="shared" si="1"/>
        <v>7.7374086889657834</v>
      </c>
      <c r="J33" s="263" t="s">
        <v>172</v>
      </c>
      <c r="K33" s="50">
        <f t="shared" si="2"/>
        <v>0</v>
      </c>
      <c r="L33" s="73"/>
    </row>
    <row r="34" spans="1:12" ht="13">
      <c r="B34" s="38" t="s">
        <v>432</v>
      </c>
      <c r="C34" s="47">
        <f>C30/_xlfn.XLOOKUP(E30,Electrical_cables_names_Ass,Electrical_cables_km_per_drum_Ass)*_xlfn.XLOOKUP(E34,Cable_drums_haul_unload_names_UR,Cable_drums_haul_unload_distance_avg)</f>
        <v>0</v>
      </c>
      <c r="D34" s="263" t="s">
        <v>172</v>
      </c>
      <c r="E34" s="74" t="s">
        <v>173</v>
      </c>
      <c r="F34" s="276"/>
      <c r="G34" s="48">
        <f>_xlfn.XLOOKUP(E34, Cable_drums_haul_unload_names_UR,Cable_drums_haul_unload_rates_UR)</f>
        <v>7.7374086889657834</v>
      </c>
      <c r="H34" s="72"/>
      <c r="I34" s="49">
        <f t="shared" si="1"/>
        <v>7.7374086889657834</v>
      </c>
      <c r="J34" s="263" t="s">
        <v>172</v>
      </c>
      <c r="K34" s="50">
        <f t="shared" si="2"/>
        <v>0</v>
      </c>
      <c r="L34" s="73"/>
    </row>
    <row r="35" spans="1:12">
      <c r="C35" s="321"/>
      <c r="I35" s="278"/>
      <c r="L35" s="70"/>
    </row>
    <row r="36" spans="1:12" ht="13">
      <c r="B36" s="309" t="str">
        <f>B$22</f>
        <v>Totals</v>
      </c>
      <c r="C36" s="279">
        <f>SUM(C25:C30)</f>
        <v>0</v>
      </c>
      <c r="D36" s="263" t="s">
        <v>155</v>
      </c>
      <c r="H36" s="280" t="s">
        <v>176</v>
      </c>
      <c r="I36" s="51">
        <f>IF(C36=0,0,K36/C36)</f>
        <v>0</v>
      </c>
      <c r="J36" s="281" t="s">
        <v>433</v>
      </c>
      <c r="K36" s="44">
        <f>SUM(K25:K35)</f>
        <v>0</v>
      </c>
      <c r="L36" s="73"/>
    </row>
    <row r="37" spans="1:12">
      <c r="L37" s="70"/>
    </row>
    <row r="38" spans="1:12" ht="13">
      <c r="A38" s="244"/>
      <c r="B38" s="222" t="s">
        <v>178</v>
      </c>
      <c r="C38" s="222"/>
      <c r="D38" s="222"/>
      <c r="E38" s="222"/>
      <c r="F38" s="222"/>
      <c r="G38" s="222"/>
      <c r="H38" s="222"/>
      <c r="I38" s="222"/>
      <c r="J38" s="222"/>
      <c r="K38" s="222"/>
      <c r="L38" s="222"/>
    </row>
    <row r="39" spans="1:12" ht="22.5" customHeight="1">
      <c r="B39" s="272" t="s">
        <v>141</v>
      </c>
      <c r="C39" s="273" t="s">
        <v>142</v>
      </c>
      <c r="D39" s="273" t="s">
        <v>82</v>
      </c>
      <c r="E39" s="276"/>
      <c r="F39" s="276"/>
      <c r="G39" s="275" t="s">
        <v>81</v>
      </c>
      <c r="H39" s="275" t="s">
        <v>143</v>
      </c>
      <c r="I39" s="275" t="s">
        <v>144</v>
      </c>
      <c r="J39" s="275" t="s">
        <v>145</v>
      </c>
      <c r="K39" s="275" t="s">
        <v>146</v>
      </c>
      <c r="L39" s="70"/>
    </row>
    <row r="40" spans="1:12" ht="13">
      <c r="B40" s="38" t="s">
        <v>179</v>
      </c>
      <c r="C40" s="67"/>
      <c r="D40" s="244" t="s">
        <v>155</v>
      </c>
      <c r="G40" s="53">
        <f>'Cost Schedule'!$C$390</f>
        <v>27748.513586103494</v>
      </c>
      <c r="H40" s="72"/>
      <c r="I40" s="40">
        <f>IF(H40="",G40,H40)</f>
        <v>27748.513586103494</v>
      </c>
      <c r="J40" s="244" t="s">
        <v>155</v>
      </c>
      <c r="K40" s="46">
        <f>I40*C40</f>
        <v>0</v>
      </c>
      <c r="L40" s="73"/>
    </row>
    <row r="41" spans="1:12">
      <c r="C41" s="308"/>
      <c r="L41" s="70"/>
    </row>
    <row r="42" spans="1:12" ht="13">
      <c r="B42" s="309" t="str">
        <f>B$22</f>
        <v>Totals</v>
      </c>
      <c r="C42" s="88">
        <f>SUM(C39:C41)</f>
        <v>0</v>
      </c>
      <c r="D42" s="244" t="s">
        <v>155</v>
      </c>
      <c r="G42" s="244"/>
      <c r="H42" s="270" t="s">
        <v>180</v>
      </c>
      <c r="I42" s="40">
        <f>IF(C42=0,0,K42/C42)</f>
        <v>0</v>
      </c>
      <c r="J42" s="271" t="s">
        <v>177</v>
      </c>
      <c r="K42" s="44">
        <f>SUM(K39:K41)</f>
        <v>0</v>
      </c>
      <c r="L42" s="73"/>
    </row>
    <row r="43" spans="1:12">
      <c r="C43" s="308"/>
      <c r="L43" s="70"/>
    </row>
    <row r="44" spans="1:12" ht="13">
      <c r="A44" s="244"/>
      <c r="B44" s="222" t="s">
        <v>434</v>
      </c>
      <c r="C44" s="222"/>
      <c r="D44" s="222"/>
      <c r="E44" s="222"/>
      <c r="F44" s="222"/>
      <c r="G44" s="222"/>
      <c r="H44" s="222"/>
      <c r="I44" s="222"/>
      <c r="J44" s="222"/>
      <c r="K44" s="222"/>
      <c r="L44" s="222"/>
    </row>
    <row r="45" spans="1:12" ht="22.5" customHeight="1">
      <c r="B45" s="272" t="s">
        <v>141</v>
      </c>
      <c r="C45" s="273" t="s">
        <v>142</v>
      </c>
      <c r="D45" s="273" t="s">
        <v>82</v>
      </c>
      <c r="E45" s="276"/>
      <c r="F45" s="276"/>
      <c r="G45" s="275" t="s">
        <v>81</v>
      </c>
      <c r="H45" s="275" t="s">
        <v>143</v>
      </c>
      <c r="I45" s="275" t="s">
        <v>144</v>
      </c>
      <c r="J45" s="275" t="s">
        <v>145</v>
      </c>
      <c r="K45" s="275" t="s">
        <v>146</v>
      </c>
      <c r="L45" s="70"/>
    </row>
    <row r="46" spans="1:12" ht="13">
      <c r="B46" s="38" t="s">
        <v>182</v>
      </c>
      <c r="C46" s="69"/>
      <c r="D46" s="244" t="s">
        <v>183</v>
      </c>
      <c r="E46" s="244"/>
      <c r="G46" s="53">
        <f>'Cost Schedule'!C365</f>
        <v>5097.3254872242924</v>
      </c>
      <c r="H46" s="72"/>
      <c r="I46" s="40">
        <f>IF(H46="",G46,H46)</f>
        <v>5097.3254872242924</v>
      </c>
      <c r="J46" s="244" t="s">
        <v>184</v>
      </c>
      <c r="K46" s="46">
        <f>I46*C46</f>
        <v>0</v>
      </c>
      <c r="L46" s="73"/>
    </row>
    <row r="47" spans="1:12">
      <c r="C47" s="322"/>
      <c r="L47" s="70"/>
    </row>
    <row r="48" spans="1:12" ht="13">
      <c r="B48" s="309" t="str">
        <f>B$22</f>
        <v>Totals</v>
      </c>
      <c r="C48" s="89">
        <f>SUM(C45:C47)</f>
        <v>0</v>
      </c>
      <c r="D48" s="244" t="s">
        <v>183</v>
      </c>
      <c r="H48" s="270" t="s">
        <v>435</v>
      </c>
      <c r="I48" s="40">
        <f>IF(C48=0,0,K48/C48)</f>
        <v>0</v>
      </c>
      <c r="J48" s="271" t="s">
        <v>436</v>
      </c>
      <c r="K48" s="44">
        <f>SUM(K45:K47)</f>
        <v>0</v>
      </c>
      <c r="L48" s="73"/>
    </row>
    <row r="49" spans="1:12">
      <c r="L49" s="73"/>
    </row>
    <row r="50" spans="1:12" ht="13">
      <c r="A50" s="244"/>
      <c r="B50" s="222" t="s">
        <v>191</v>
      </c>
      <c r="C50" s="222"/>
      <c r="D50" s="222"/>
      <c r="E50" s="222"/>
      <c r="F50" s="222"/>
      <c r="G50" s="222"/>
      <c r="H50" s="222"/>
      <c r="I50" s="222"/>
      <c r="J50" s="222"/>
      <c r="K50" s="222"/>
      <c r="L50" s="222"/>
    </row>
    <row r="51" spans="1:12" ht="23.25" customHeight="1">
      <c r="B51" s="272" t="s">
        <v>141</v>
      </c>
      <c r="C51" s="273" t="s">
        <v>142</v>
      </c>
      <c r="D51" s="273" t="s">
        <v>82</v>
      </c>
      <c r="E51" s="276" t="s">
        <v>152</v>
      </c>
      <c r="F51" s="276"/>
      <c r="G51" s="275" t="s">
        <v>81</v>
      </c>
      <c r="H51" s="275" t="s">
        <v>143</v>
      </c>
      <c r="I51" s="275" t="s">
        <v>144</v>
      </c>
      <c r="J51" s="275" t="s">
        <v>145</v>
      </c>
      <c r="K51" s="275" t="s">
        <v>146</v>
      </c>
      <c r="L51" s="70"/>
    </row>
    <row r="52" spans="1:12" ht="13">
      <c r="B52" s="38" t="s">
        <v>192</v>
      </c>
      <c r="C52" s="69"/>
      <c r="D52" s="263" t="s">
        <v>193</v>
      </c>
      <c r="E52" s="74" t="s">
        <v>194</v>
      </c>
      <c r="F52" s="276"/>
      <c r="G52" s="39">
        <f>_xlfn.XLOOKUP(E52,Substation_sizes_UR,Substation_rates_UR)</f>
        <v>53521.3374886819</v>
      </c>
      <c r="H52" s="72"/>
      <c r="I52" s="40">
        <f>IF(H52="",G52,H52)</f>
        <v>53521.3374886819</v>
      </c>
      <c r="J52" s="263" t="s">
        <v>195</v>
      </c>
      <c r="K52" s="46">
        <f>I52*C52</f>
        <v>0</v>
      </c>
      <c r="L52" s="73"/>
    </row>
    <row r="53" spans="1:12" ht="13">
      <c r="B53" s="303"/>
      <c r="C53" s="323"/>
      <c r="D53" s="303"/>
      <c r="F53" s="276"/>
      <c r="G53" s="303"/>
      <c r="H53" s="303"/>
      <c r="I53" s="324"/>
      <c r="J53" s="303"/>
      <c r="K53" s="303"/>
      <c r="L53" s="70"/>
    </row>
    <row r="54" spans="1:12" ht="13">
      <c r="B54" s="309" t="str">
        <f>B$22</f>
        <v>Totals</v>
      </c>
      <c r="C54" s="90">
        <f>SUM(C52:C52)</f>
        <v>0</v>
      </c>
      <c r="D54" s="263" t="s">
        <v>193</v>
      </c>
      <c r="H54" s="280" t="s">
        <v>437</v>
      </c>
      <c r="I54" s="51">
        <f>IF(C54=0,0,K54/C54)</f>
        <v>0</v>
      </c>
      <c r="J54" s="281" t="s">
        <v>197</v>
      </c>
      <c r="K54" s="44">
        <f>SUM(K51:K53)</f>
        <v>0</v>
      </c>
      <c r="L54" s="73"/>
    </row>
    <row r="55" spans="1:12" ht="13">
      <c r="B55" s="303"/>
      <c r="C55" s="303"/>
      <c r="D55" s="303"/>
      <c r="G55" s="303"/>
      <c r="H55" s="303"/>
      <c r="I55" s="303"/>
      <c r="J55" s="303"/>
      <c r="K55" s="303"/>
      <c r="L55" s="70"/>
    </row>
    <row r="56" spans="1:12" ht="13">
      <c r="A56" s="244"/>
      <c r="B56" s="222" t="s">
        <v>438</v>
      </c>
      <c r="C56" s="222"/>
      <c r="D56" s="222"/>
      <c r="E56" s="222"/>
      <c r="F56" s="222"/>
      <c r="G56" s="222"/>
      <c r="H56" s="222"/>
      <c r="I56" s="222"/>
      <c r="J56" s="222"/>
      <c r="K56" s="222"/>
      <c r="L56" s="222"/>
    </row>
    <row r="57" spans="1:12" ht="23.25" customHeight="1">
      <c r="B57" s="272" t="s">
        <v>141</v>
      </c>
      <c r="C57" s="273" t="s">
        <v>142</v>
      </c>
      <c r="D57" s="273" t="s">
        <v>82</v>
      </c>
      <c r="G57" s="275" t="s">
        <v>81</v>
      </c>
      <c r="H57" s="275" t="s">
        <v>143</v>
      </c>
      <c r="I57" s="275" t="s">
        <v>144</v>
      </c>
      <c r="J57" s="275" t="s">
        <v>145</v>
      </c>
      <c r="K57" s="275" t="s">
        <v>146</v>
      </c>
      <c r="L57" s="70"/>
    </row>
    <row r="58" spans="1:12" ht="13">
      <c r="B58" s="38" t="s">
        <v>439</v>
      </c>
      <c r="C58" s="69"/>
      <c r="D58" s="263" t="s">
        <v>200</v>
      </c>
      <c r="E58" s="276"/>
      <c r="F58" s="276"/>
      <c r="G58" s="39">
        <f>'Cost Schedule'!C441</f>
        <v>2832.9667608686314</v>
      </c>
      <c r="H58" s="72"/>
      <c r="I58" s="40">
        <f>IF(H58="",G58,H58)</f>
        <v>2832.9667608686314</v>
      </c>
      <c r="J58" s="263" t="s">
        <v>201</v>
      </c>
      <c r="K58" s="46">
        <f>I58*C58</f>
        <v>0</v>
      </c>
      <c r="L58" s="73"/>
    </row>
    <row r="59" spans="1:12" ht="13">
      <c r="B59" s="38" t="s">
        <v>202</v>
      </c>
      <c r="C59" s="69"/>
      <c r="D59" s="263" t="s">
        <v>200</v>
      </c>
      <c r="E59" s="276"/>
      <c r="F59" s="276"/>
      <c r="G59" s="39">
        <f>'Cost Schedule'!C442</f>
        <v>2832.9667608686314</v>
      </c>
      <c r="H59" s="72"/>
      <c r="I59" s="40">
        <f>IF(H59="",G59,H59)</f>
        <v>2832.9667608686314</v>
      </c>
      <c r="J59" s="263" t="s">
        <v>201</v>
      </c>
      <c r="K59" s="46">
        <f>I59*C59</f>
        <v>0</v>
      </c>
      <c r="L59" s="73"/>
    </row>
    <row r="60" spans="1:12">
      <c r="C60" s="322"/>
      <c r="L60" s="73"/>
    </row>
    <row r="61" spans="1:12" ht="13">
      <c r="B61" s="309" t="str">
        <f>B$22</f>
        <v>Totals</v>
      </c>
      <c r="C61" s="288">
        <f>SUM(C58:C59)</f>
        <v>0</v>
      </c>
      <c r="D61" s="263" t="s">
        <v>200</v>
      </c>
      <c r="H61" s="280" t="s">
        <v>440</v>
      </c>
      <c r="I61" s="51">
        <f>IF(C61=0,0,K61/C61)</f>
        <v>0</v>
      </c>
      <c r="J61" s="281" t="s">
        <v>441</v>
      </c>
      <c r="K61" s="44">
        <f>SUM(K57:K60)</f>
        <v>0</v>
      </c>
      <c r="L61" s="73"/>
    </row>
    <row r="62" spans="1:12">
      <c r="C62" s="308"/>
      <c r="L62" s="70"/>
    </row>
    <row r="63" spans="1:12" ht="13">
      <c r="A63" s="244"/>
      <c r="B63" s="222" t="s">
        <v>442</v>
      </c>
      <c r="C63" s="222"/>
      <c r="D63" s="222"/>
      <c r="E63" s="222"/>
      <c r="F63" s="222"/>
      <c r="G63" s="222"/>
      <c r="H63" s="222"/>
      <c r="I63" s="222"/>
      <c r="J63" s="222"/>
      <c r="K63" s="222"/>
      <c r="L63" s="222"/>
    </row>
    <row r="64" spans="1:12" ht="24" customHeight="1">
      <c r="B64" s="302" t="s">
        <v>141</v>
      </c>
      <c r="C64" s="303" t="s">
        <v>142</v>
      </c>
      <c r="D64" s="303" t="s">
        <v>82</v>
      </c>
      <c r="E64" s="303" t="s">
        <v>152</v>
      </c>
      <c r="F64" s="303"/>
      <c r="G64" s="304" t="s">
        <v>81</v>
      </c>
      <c r="H64" s="304" t="s">
        <v>143</v>
      </c>
      <c r="I64" s="304" t="s">
        <v>144</v>
      </c>
      <c r="J64" s="304" t="s">
        <v>145</v>
      </c>
      <c r="K64" s="304" t="s">
        <v>146</v>
      </c>
      <c r="L64" s="82"/>
    </row>
    <row r="65" spans="1:12">
      <c r="B65" s="38" t="s">
        <v>443</v>
      </c>
      <c r="C65" s="325">
        <f>_xlfn.XLOOKUP(C$13,Turbine_models,Turbine_gearbox_oil_volume)</f>
        <v>0.1</v>
      </c>
      <c r="D65" s="263" t="str">
        <f>Turbines!C26</f>
        <v>kL</v>
      </c>
      <c r="L65" s="73"/>
    </row>
    <row r="66" spans="1:12" ht="13">
      <c r="B66" s="38" t="s">
        <v>444</v>
      </c>
      <c r="C66" s="326">
        <f>C65*C$14</f>
        <v>0</v>
      </c>
      <c r="D66" s="263" t="str">
        <f>D65</f>
        <v>kL</v>
      </c>
      <c r="G66" s="48">
        <f>'Cost Schedule'!C443</f>
        <v>30.149429723218436</v>
      </c>
      <c r="H66" s="72"/>
      <c r="I66" s="49">
        <f>IF(H66="",G66,H66)</f>
        <v>30.149429723218436</v>
      </c>
      <c r="J66" s="263" t="s">
        <v>445</v>
      </c>
      <c r="K66" s="46">
        <f>I66*C66</f>
        <v>0</v>
      </c>
      <c r="L66" s="73"/>
    </row>
    <row r="67" spans="1:12">
      <c r="B67" s="15" t="s">
        <v>331</v>
      </c>
      <c r="C67" s="56">
        <f>_xlfn.XLOOKUP(E68,Long_haul_names_oil_UR,Load_haul_dump_oil_distance_avg)</f>
        <v>12.5</v>
      </c>
      <c r="D67" s="263" t="s">
        <v>155</v>
      </c>
      <c r="L67" s="82"/>
    </row>
    <row r="68" spans="1:12" ht="13">
      <c r="B68" s="57" t="s">
        <v>332</v>
      </c>
      <c r="C68" s="290">
        <f>C67*C66</f>
        <v>0</v>
      </c>
      <c r="D68" s="263" t="s">
        <v>447</v>
      </c>
      <c r="E68" s="77" t="s">
        <v>446</v>
      </c>
      <c r="G68" s="48">
        <f>_xlfn.XLOOKUP(E68,Long_haul_names_oil_UR,Long_haul_rates_oil_UR)</f>
        <v>5.1779324760132068</v>
      </c>
      <c r="H68" s="72"/>
      <c r="I68" s="49">
        <f>IF(H68="",G68,H68)</f>
        <v>5.1779324760132068</v>
      </c>
      <c r="J68" s="263" t="s">
        <v>447</v>
      </c>
      <c r="K68" s="46">
        <f>I68*C68</f>
        <v>0</v>
      </c>
      <c r="L68" s="82"/>
    </row>
    <row r="69" spans="1:12" ht="13">
      <c r="B69" s="57" t="s">
        <v>334</v>
      </c>
      <c r="C69" s="298">
        <f>C66</f>
        <v>0</v>
      </c>
      <c r="D69" s="263" t="str">
        <f>D65</f>
        <v>kL</v>
      </c>
      <c r="G69" s="48">
        <f>Disposal_gate_fee_oil_rate</f>
        <v>200</v>
      </c>
      <c r="H69" s="72"/>
      <c r="I69" s="49">
        <f>IF(H69="",G69,H69)</f>
        <v>200</v>
      </c>
      <c r="J69" s="263" t="s">
        <v>445</v>
      </c>
      <c r="K69" s="46">
        <f>I69*C69</f>
        <v>0</v>
      </c>
      <c r="L69" s="82"/>
    </row>
    <row r="70" spans="1:12" ht="13">
      <c r="B70" s="57" t="s">
        <v>336</v>
      </c>
      <c r="C70" s="298">
        <f>C66</f>
        <v>0</v>
      </c>
      <c r="D70" s="263" t="str">
        <f>D65</f>
        <v>kL</v>
      </c>
      <c r="E70" s="77" t="s">
        <v>342</v>
      </c>
      <c r="G70" s="48">
        <f>_xlfn.XLOOKUP(E70,Waste_levy_names,Waste_levy_rates)</f>
        <v>85.5</v>
      </c>
      <c r="H70" s="72"/>
      <c r="I70" s="49">
        <f>IF(H70="",G70,H70)</f>
        <v>85.5</v>
      </c>
      <c r="J70" s="263" t="s">
        <v>445</v>
      </c>
      <c r="K70" s="46">
        <f>I70*C70</f>
        <v>0</v>
      </c>
      <c r="L70" s="82"/>
    </row>
    <row r="71" spans="1:12">
      <c r="C71" s="308"/>
      <c r="K71" s="244"/>
      <c r="L71" s="82"/>
    </row>
    <row r="72" spans="1:12" ht="13">
      <c r="B72" s="309" t="str">
        <f>B$22</f>
        <v>Totals</v>
      </c>
      <c r="C72" s="290">
        <f>C66</f>
        <v>0</v>
      </c>
      <c r="D72" s="263" t="s">
        <v>445</v>
      </c>
      <c r="H72" s="280" t="s">
        <v>449</v>
      </c>
      <c r="I72" s="51">
        <f>IF(C72=0,0,K72/C72)</f>
        <v>0</v>
      </c>
      <c r="J72" s="281" t="s">
        <v>450</v>
      </c>
      <c r="K72" s="44">
        <f>SUM(K64:K71)</f>
        <v>0</v>
      </c>
      <c r="L72" s="82"/>
    </row>
    <row r="73" spans="1:12" ht="13">
      <c r="B73" s="309"/>
      <c r="C73" s="327"/>
      <c r="H73" s="280" t="s">
        <v>451</v>
      </c>
      <c r="I73" s="51">
        <f>IF($C$14=0,0,K72/$C$14)</f>
        <v>0</v>
      </c>
      <c r="J73" s="281" t="s">
        <v>452</v>
      </c>
      <c r="L73" s="82"/>
    </row>
    <row r="74" spans="1:12">
      <c r="L74" s="82"/>
    </row>
    <row r="75" spans="1:12" ht="13">
      <c r="A75" s="244"/>
      <c r="B75" s="222" t="s">
        <v>453</v>
      </c>
      <c r="C75" s="222"/>
      <c r="D75" s="222"/>
      <c r="E75" s="222"/>
      <c r="F75" s="222"/>
      <c r="G75" s="222"/>
      <c r="H75" s="222"/>
      <c r="I75" s="222"/>
      <c r="J75" s="222"/>
      <c r="K75" s="222"/>
      <c r="L75" s="222"/>
    </row>
    <row r="76" spans="1:12" ht="24" customHeight="1">
      <c r="B76" s="302" t="s">
        <v>141</v>
      </c>
      <c r="C76" s="303" t="s">
        <v>142</v>
      </c>
      <c r="D76" s="303" t="s">
        <v>82</v>
      </c>
      <c r="E76" s="303" t="s">
        <v>152</v>
      </c>
      <c r="F76" s="303"/>
      <c r="G76" s="304" t="s">
        <v>81</v>
      </c>
      <c r="H76" s="304" t="s">
        <v>143</v>
      </c>
      <c r="I76" s="304" t="s">
        <v>144</v>
      </c>
      <c r="J76" s="304" t="s">
        <v>145</v>
      </c>
      <c r="K76" s="304" t="s">
        <v>146</v>
      </c>
      <c r="L76" s="82"/>
    </row>
    <row r="77" spans="1:12">
      <c r="B77" s="15" t="s">
        <v>454</v>
      </c>
      <c r="C77" s="91">
        <f>C$14</f>
        <v>0</v>
      </c>
      <c r="D77" s="263" t="s">
        <v>455</v>
      </c>
      <c r="L77" s="73"/>
    </row>
    <row r="78" spans="1:12" ht="13">
      <c r="B78" s="15" t="s">
        <v>456</v>
      </c>
      <c r="C78" s="311">
        <f>C77</f>
        <v>0</v>
      </c>
      <c r="D78" s="263" t="s">
        <v>455</v>
      </c>
      <c r="E78" s="77" t="s">
        <v>457</v>
      </c>
      <c r="G78" s="39">
        <f>IF(E78=Small_turbine,'Cost Schedule'!C444,'Cost Schedule'!C445)</f>
        <v>37646.400000000001</v>
      </c>
      <c r="H78" s="72"/>
      <c r="I78" s="40">
        <f>IF(H78="",G78,H78)</f>
        <v>37646.400000000001</v>
      </c>
      <c r="J78" s="263" t="s">
        <v>458</v>
      </c>
      <c r="K78" s="46">
        <f>I78*C78</f>
        <v>0</v>
      </c>
      <c r="L78" s="73"/>
    </row>
    <row r="79" spans="1:12" ht="13">
      <c r="B79" s="15" t="s">
        <v>459</v>
      </c>
      <c r="C79" s="91">
        <f>C77</f>
        <v>0</v>
      </c>
      <c r="D79" s="263" t="s">
        <v>460</v>
      </c>
      <c r="E79" s="328" t="str">
        <f>E78</f>
        <v>Large turbine</v>
      </c>
      <c r="G79" s="39">
        <f>IF(E79=Small_turbine,'Cost Schedule'!C446,'Cost Schedule'!C447)</f>
        <v>30804.239999999998</v>
      </c>
      <c r="H79" s="72"/>
      <c r="I79" s="40">
        <f>IF(H79="",G79,H79)</f>
        <v>30804.239999999998</v>
      </c>
      <c r="J79" s="263" t="s">
        <v>458</v>
      </c>
      <c r="K79" s="46">
        <f>I79*C79</f>
        <v>0</v>
      </c>
      <c r="L79" s="73"/>
    </row>
    <row r="80" spans="1:12">
      <c r="B80" s="15" t="s">
        <v>461</v>
      </c>
      <c r="C80" s="325">
        <f>_xlfn.XLOOKUP(C$13,Turbine_models,Turbine_blade_mass)</f>
        <v>4</v>
      </c>
      <c r="D80" s="263" t="s">
        <v>318</v>
      </c>
      <c r="L80" s="73"/>
    </row>
    <row r="81" spans="1:12">
      <c r="B81" s="15" t="s">
        <v>462</v>
      </c>
      <c r="C81" s="298">
        <f>C80*C$14</f>
        <v>0</v>
      </c>
      <c r="D81" s="263" t="s">
        <v>318</v>
      </c>
      <c r="L81" s="73"/>
    </row>
    <row r="82" spans="1:12">
      <c r="B82" s="15" t="s">
        <v>331</v>
      </c>
      <c r="C82" s="56">
        <f>_xlfn.XLOOKUP(E82,Blades_hub_haul_unload_names_UR,Blades_haul_unload_distance_avg)</f>
        <v>47.5</v>
      </c>
      <c r="D82" s="263" t="s">
        <v>155</v>
      </c>
      <c r="E82" s="77" t="s">
        <v>463</v>
      </c>
      <c r="L82" s="73"/>
    </row>
    <row r="83" spans="1:12" ht="13">
      <c r="B83" s="15" t="s">
        <v>464</v>
      </c>
      <c r="C83" s="301">
        <f>C82*$C$14</f>
        <v>0</v>
      </c>
      <c r="D83" s="263" t="s">
        <v>465</v>
      </c>
      <c r="G83" s="48">
        <f>_xlfn.XLOOKUP(E82,Blades_hub_haul_unload_names_UR,Blades_hub_haul_unload_rates_UR)</f>
        <v>58.277732809770399</v>
      </c>
      <c r="H83" s="72"/>
      <c r="I83" s="49">
        <f>IF(H83="",G83,H83)</f>
        <v>58.277732809770399</v>
      </c>
      <c r="J83" s="263" t="s">
        <v>465</v>
      </c>
      <c r="K83" s="46">
        <f>I83*C83</f>
        <v>0</v>
      </c>
      <c r="L83" s="73"/>
    </row>
    <row r="84" spans="1:12" ht="13">
      <c r="B84" s="57" t="s">
        <v>1359</v>
      </c>
      <c r="C84" s="290">
        <f>C81</f>
        <v>0</v>
      </c>
      <c r="D84" s="263" t="s">
        <v>318</v>
      </c>
      <c r="E84" s="77" t="s">
        <v>466</v>
      </c>
      <c r="G84" s="48">
        <f>_xlfn.XLOOKUP(E84,Rates!B120:B121,Rates!D120:D121)</f>
        <v>250</v>
      </c>
      <c r="H84" s="72"/>
      <c r="I84" s="49">
        <f>IF(H84="",G84,H84)</f>
        <v>250</v>
      </c>
      <c r="J84" s="263" t="s">
        <v>318</v>
      </c>
      <c r="K84" s="46">
        <f>I84*C84</f>
        <v>0</v>
      </c>
      <c r="L84" s="73"/>
    </row>
    <row r="85" spans="1:12" ht="13">
      <c r="B85" s="57" t="s">
        <v>336</v>
      </c>
      <c r="C85" s="290">
        <f>C84</f>
        <v>0</v>
      </c>
      <c r="D85" s="263" t="s">
        <v>318</v>
      </c>
      <c r="E85" s="77" t="s">
        <v>342</v>
      </c>
      <c r="G85" s="48">
        <f>_xlfn.XLOOKUP(E85,Waste_levy_names,Waste_levy_rates)</f>
        <v>85.5</v>
      </c>
      <c r="H85" s="72"/>
      <c r="I85" s="49">
        <f>IF(H85="",G85,H85)</f>
        <v>85.5</v>
      </c>
      <c r="J85" s="263" t="s">
        <v>318</v>
      </c>
      <c r="K85" s="46">
        <f>I85*C85</f>
        <v>0</v>
      </c>
      <c r="L85" s="70"/>
    </row>
    <row r="86" spans="1:12">
      <c r="C86" s="321"/>
      <c r="L86" s="73"/>
    </row>
    <row r="87" spans="1:12" ht="13">
      <c r="B87" s="309" t="str">
        <f>B$22</f>
        <v>Totals</v>
      </c>
      <c r="C87" s="311">
        <f>C77</f>
        <v>0</v>
      </c>
      <c r="D87" s="263" t="s">
        <v>455</v>
      </c>
      <c r="H87" s="280" t="s">
        <v>467</v>
      </c>
      <c r="I87" s="40">
        <f>IF(C87=0,0,K87/C87)</f>
        <v>0</v>
      </c>
      <c r="J87" s="271" t="s">
        <v>468</v>
      </c>
      <c r="K87" s="44">
        <f>SUM(K76:K86)</f>
        <v>0</v>
      </c>
      <c r="L87" s="70"/>
    </row>
    <row r="88" spans="1:12">
      <c r="L88" s="70"/>
    </row>
    <row r="89" spans="1:12" ht="13">
      <c r="A89" s="244"/>
      <c r="B89" s="222" t="s">
        <v>469</v>
      </c>
      <c r="C89" s="222"/>
      <c r="D89" s="222"/>
      <c r="E89" s="222"/>
      <c r="F89" s="222"/>
      <c r="G89" s="222"/>
      <c r="H89" s="222"/>
      <c r="I89" s="222"/>
      <c r="J89" s="222"/>
      <c r="K89" s="222"/>
      <c r="L89" s="222"/>
    </row>
    <row r="90" spans="1:12" ht="24" customHeight="1">
      <c r="B90" s="302" t="s">
        <v>141</v>
      </c>
      <c r="C90" s="303" t="s">
        <v>142</v>
      </c>
      <c r="D90" s="303" t="s">
        <v>82</v>
      </c>
      <c r="E90" s="303" t="s">
        <v>152</v>
      </c>
      <c r="F90" s="303"/>
      <c r="G90" s="304" t="s">
        <v>81</v>
      </c>
      <c r="H90" s="304" t="s">
        <v>143</v>
      </c>
      <c r="I90" s="304" t="s">
        <v>144</v>
      </c>
      <c r="J90" s="304" t="s">
        <v>145</v>
      </c>
      <c r="K90" s="304" t="s">
        <v>146</v>
      </c>
      <c r="L90" s="82"/>
    </row>
    <row r="91" spans="1:12">
      <c r="B91" s="15" t="s">
        <v>470</v>
      </c>
      <c r="C91" s="91">
        <f>C$14</f>
        <v>0</v>
      </c>
      <c r="D91" s="263" t="s">
        <v>471</v>
      </c>
      <c r="L91" s="73"/>
    </row>
    <row r="92" spans="1:12" ht="13">
      <c r="B92" s="15" t="s">
        <v>472</v>
      </c>
      <c r="C92" s="311">
        <f>C91</f>
        <v>0</v>
      </c>
      <c r="D92" s="263" t="s">
        <v>471</v>
      </c>
      <c r="E92" s="328" t="str">
        <f>E78</f>
        <v>Large turbine</v>
      </c>
      <c r="G92" s="39">
        <f>IF(E92=Small_turbine,'Cost Schedule'!C448,'Cost Schedule'!C449)</f>
        <v>38534.399999999994</v>
      </c>
      <c r="H92" s="72"/>
      <c r="I92" s="40">
        <f>IF(H92="",G92,H92)</f>
        <v>38534.399999999994</v>
      </c>
      <c r="J92" s="263" t="s">
        <v>473</v>
      </c>
      <c r="K92" s="46">
        <f>I92*C92</f>
        <v>0</v>
      </c>
      <c r="L92" s="73"/>
    </row>
    <row r="93" spans="1:12">
      <c r="B93" s="38" t="s">
        <v>474</v>
      </c>
      <c r="C93" s="325">
        <f>_xlfn.XLOOKUP(C$13,Turbine_models,Turbine_nacelle_mass)</f>
        <v>17.3</v>
      </c>
      <c r="D93" s="263" t="s">
        <v>318</v>
      </c>
      <c r="L93" s="73"/>
    </row>
    <row r="94" spans="1:12">
      <c r="B94" s="38" t="s">
        <v>475</v>
      </c>
      <c r="C94" s="298">
        <f>C93*C$14</f>
        <v>0</v>
      </c>
      <c r="D94" s="263" t="s">
        <v>318</v>
      </c>
      <c r="L94" s="73"/>
    </row>
    <row r="95" spans="1:12">
      <c r="B95" s="15" t="s">
        <v>331</v>
      </c>
      <c r="C95" s="56">
        <f>_xlfn.XLOOKUP(E96,Nacelles_haul_unload_names_UR,Nacelles_haul_unload_distance_avg)</f>
        <v>27.5</v>
      </c>
      <c r="D95" s="263" t="s">
        <v>155</v>
      </c>
      <c r="L95" s="73"/>
    </row>
    <row r="96" spans="1:12" ht="13">
      <c r="B96" s="15" t="s">
        <v>332</v>
      </c>
      <c r="C96" s="301">
        <f>C95*$C$14</f>
        <v>0</v>
      </c>
      <c r="D96" s="263" t="s">
        <v>476</v>
      </c>
      <c r="E96" s="77" t="s">
        <v>477</v>
      </c>
      <c r="G96" s="48">
        <f>_xlfn.XLOOKUP(E96,Nacelles_haul_unload_names_UR,Nacelles_haul_unload_rates_UR)</f>
        <v>6.8963860053825448</v>
      </c>
      <c r="H96" s="72"/>
      <c r="I96" s="49">
        <f>IF(H96="",G96,H96)</f>
        <v>6.8963860053825448</v>
      </c>
      <c r="J96" s="263" t="s">
        <v>476</v>
      </c>
      <c r="K96" s="46">
        <f>I96*C96</f>
        <v>0</v>
      </c>
      <c r="L96" s="73"/>
    </row>
    <row r="97" spans="1:12" ht="13">
      <c r="B97" s="57" t="s">
        <v>334</v>
      </c>
      <c r="C97" s="290">
        <f>C94</f>
        <v>0</v>
      </c>
      <c r="D97" s="263" t="s">
        <v>318</v>
      </c>
      <c r="E97" s="300" t="str">
        <f>Rates!$B$110</f>
        <v>Disposal (gate fee) steel</v>
      </c>
      <c r="G97" s="48">
        <f>Disposal_gate_fee_Steel</f>
        <v>0</v>
      </c>
      <c r="H97" s="72"/>
      <c r="I97" s="49">
        <f>IF(H97="",G97,H97)</f>
        <v>0</v>
      </c>
      <c r="J97" s="263" t="s">
        <v>318</v>
      </c>
      <c r="K97" s="46">
        <f>I97*C97</f>
        <v>0</v>
      </c>
      <c r="L97" s="73"/>
    </row>
    <row r="98" spans="1:12" ht="13">
      <c r="B98" s="57" t="s">
        <v>336</v>
      </c>
      <c r="C98" s="290">
        <f>C94</f>
        <v>0</v>
      </c>
      <c r="D98" s="263" t="s">
        <v>318</v>
      </c>
      <c r="E98" s="77" t="s">
        <v>342</v>
      </c>
      <c r="G98" s="48">
        <f>_xlfn.XLOOKUP(E98,Waste_levy_names,Waste_levy_rates)</f>
        <v>85.5</v>
      </c>
      <c r="H98" s="72"/>
      <c r="I98" s="49">
        <f>IF(H98="",G98,H98)</f>
        <v>85.5</v>
      </c>
      <c r="J98" s="263" t="s">
        <v>318</v>
      </c>
      <c r="K98" s="46">
        <f>I98*C98</f>
        <v>0</v>
      </c>
      <c r="L98" s="70"/>
    </row>
    <row r="99" spans="1:12">
      <c r="C99" s="321"/>
      <c r="L99" s="73"/>
    </row>
    <row r="100" spans="1:12" ht="13">
      <c r="B100" s="309" t="str">
        <f>B$22</f>
        <v>Totals</v>
      </c>
      <c r="C100" s="311">
        <f>C91</f>
        <v>0</v>
      </c>
      <c r="D100" s="263" t="s">
        <v>471</v>
      </c>
      <c r="H100" s="280" t="s">
        <v>478</v>
      </c>
      <c r="I100" s="40">
        <f>IF(C100=0,0,K100/C100)</f>
        <v>0</v>
      </c>
      <c r="J100" s="271" t="s">
        <v>468</v>
      </c>
      <c r="K100" s="44">
        <f>SUM(K90:K99)</f>
        <v>0</v>
      </c>
      <c r="L100" s="70"/>
    </row>
    <row r="101" spans="1:12">
      <c r="L101" s="70"/>
    </row>
    <row r="102" spans="1:12" ht="13">
      <c r="A102" s="244"/>
      <c r="B102" s="222" t="s">
        <v>479</v>
      </c>
      <c r="C102" s="222"/>
      <c r="D102" s="222"/>
      <c r="E102" s="222"/>
      <c r="F102" s="222"/>
      <c r="G102" s="222"/>
      <c r="H102" s="222"/>
      <c r="I102" s="222"/>
      <c r="J102" s="222"/>
      <c r="K102" s="222"/>
      <c r="L102" s="222"/>
    </row>
    <row r="103" spans="1:12" ht="24" customHeight="1">
      <c r="B103" s="302" t="s">
        <v>141</v>
      </c>
      <c r="C103" s="303" t="s">
        <v>142</v>
      </c>
      <c r="D103" s="303" t="s">
        <v>82</v>
      </c>
      <c r="E103" s="303" t="s">
        <v>152</v>
      </c>
      <c r="F103" s="303"/>
      <c r="G103" s="304" t="s">
        <v>81</v>
      </c>
      <c r="H103" s="304" t="s">
        <v>143</v>
      </c>
      <c r="I103" s="304" t="s">
        <v>144</v>
      </c>
      <c r="J103" s="304" t="s">
        <v>145</v>
      </c>
      <c r="K103" s="304" t="s">
        <v>146</v>
      </c>
      <c r="L103" s="82"/>
    </row>
    <row r="104" spans="1:12" ht="13">
      <c r="B104" s="38" t="s">
        <v>1361</v>
      </c>
      <c r="C104" s="325">
        <f>C14</f>
        <v>0</v>
      </c>
      <c r="D104" s="263" t="s">
        <v>106</v>
      </c>
      <c r="E104" s="328" t="str">
        <f>E78</f>
        <v>Large turbine</v>
      </c>
      <c r="G104" s="39">
        <f>IF(E104=Small_turbine,'Cost Schedule'!C450,'Cost Schedule'!C451)</f>
        <v>57801.599999999991</v>
      </c>
      <c r="H104" s="72"/>
      <c r="I104" s="40">
        <f>IF(H104="",G104,H104)</f>
        <v>57801.599999999991</v>
      </c>
      <c r="J104" s="263" t="s">
        <v>187</v>
      </c>
      <c r="K104" s="46">
        <f>I104*C104</f>
        <v>0</v>
      </c>
      <c r="L104" s="73"/>
    </row>
    <row r="105" spans="1:12">
      <c r="B105" s="38" t="s">
        <v>480</v>
      </c>
      <c r="C105" s="325">
        <f>_xlfn.XLOOKUP(C$13,Turbine_models,Turbine_tower_mass)</f>
        <v>45</v>
      </c>
      <c r="D105" s="263" t="s">
        <v>318</v>
      </c>
      <c r="L105" s="73"/>
    </row>
    <row r="106" spans="1:12">
      <c r="B106" s="38" t="s">
        <v>481</v>
      </c>
      <c r="C106" s="298">
        <f>C105*C$14</f>
        <v>0</v>
      </c>
      <c r="D106" s="263" t="s">
        <v>318</v>
      </c>
      <c r="L106" s="73"/>
    </row>
    <row r="107" spans="1:12">
      <c r="B107" s="15" t="s">
        <v>331</v>
      </c>
      <c r="C107" s="56">
        <f>_xlfn.XLOOKUP(E108,Long_haul_names_steel_UR,'Cost Schedule'!A301:A319)</f>
        <v>25</v>
      </c>
      <c r="D107" s="263" t="s">
        <v>155</v>
      </c>
      <c r="L107" s="73"/>
    </row>
    <row r="108" spans="1:12" ht="13">
      <c r="B108" s="15" t="s">
        <v>332</v>
      </c>
      <c r="C108" s="301">
        <f>C107*$C$14</f>
        <v>0</v>
      </c>
      <c r="D108" s="263" t="s">
        <v>1360</v>
      </c>
      <c r="E108" s="77" t="s">
        <v>369</v>
      </c>
      <c r="G108" s="48">
        <f>_xlfn.XLOOKUP(E108,Long_haul_names_steel_UR,Long_haul_rates_steel_UR)</f>
        <v>2.4064462386261694</v>
      </c>
      <c r="H108" s="72"/>
      <c r="I108" s="49">
        <f>IF(H108="",G108,H108)</f>
        <v>2.4064462386261694</v>
      </c>
      <c r="J108" s="263" t="s">
        <v>1360</v>
      </c>
      <c r="K108" s="46">
        <f>I108*C108</f>
        <v>0</v>
      </c>
      <c r="L108" s="73"/>
    </row>
    <row r="109" spans="1:12" ht="13">
      <c r="B109" s="57" t="s">
        <v>334</v>
      </c>
      <c r="C109" s="298">
        <f>C106</f>
        <v>0</v>
      </c>
      <c r="D109" s="263" t="s">
        <v>318</v>
      </c>
      <c r="E109" s="328" t="str">
        <f>Rates!$B$110</f>
        <v>Disposal (gate fee) steel</v>
      </c>
      <c r="G109" s="48">
        <f>Disposal_gate_fee_Steel</f>
        <v>0</v>
      </c>
      <c r="H109" s="72"/>
      <c r="I109" s="49">
        <f>IF(H109="",G109,H109)</f>
        <v>0</v>
      </c>
      <c r="J109" s="263" t="s">
        <v>318</v>
      </c>
      <c r="K109" s="46">
        <f>I109*C109</f>
        <v>0</v>
      </c>
      <c r="L109" s="73"/>
    </row>
    <row r="110" spans="1:12" ht="13">
      <c r="B110" s="57" t="s">
        <v>336</v>
      </c>
      <c r="C110" s="290">
        <f>C106</f>
        <v>0</v>
      </c>
      <c r="D110" s="263" t="s">
        <v>318</v>
      </c>
      <c r="E110" s="77" t="s">
        <v>342</v>
      </c>
      <c r="G110" s="48">
        <f>_xlfn.XLOOKUP(E110,Waste_levy_names,Waste_levy_rates)</f>
        <v>85.5</v>
      </c>
      <c r="H110" s="72"/>
      <c r="I110" s="49">
        <f>IF(H110="",G110,H110)</f>
        <v>85.5</v>
      </c>
      <c r="J110" s="263" t="s">
        <v>318</v>
      </c>
      <c r="K110" s="46">
        <f>I110*C110</f>
        <v>0</v>
      </c>
      <c r="L110" s="70"/>
    </row>
    <row r="111" spans="1:12">
      <c r="C111" s="308"/>
      <c r="L111" s="73"/>
    </row>
    <row r="112" spans="1:12" ht="13">
      <c r="B112" s="309" t="str">
        <f>B$22</f>
        <v>Totals</v>
      </c>
      <c r="C112" s="298">
        <f>C104*C$14</f>
        <v>0</v>
      </c>
      <c r="D112" s="263" t="s">
        <v>636</v>
      </c>
      <c r="H112" s="280" t="s">
        <v>482</v>
      </c>
      <c r="I112" s="40">
        <f>IF(C112=0,0,K112/C112)</f>
        <v>0</v>
      </c>
      <c r="J112" s="271" t="s">
        <v>636</v>
      </c>
      <c r="K112" s="44">
        <f>SUM(K103:K111)</f>
        <v>0</v>
      </c>
      <c r="L112" s="70"/>
    </row>
    <row r="113" spans="1:12">
      <c r="L113" s="70"/>
    </row>
    <row r="114" spans="1:12" ht="13">
      <c r="A114" s="244"/>
      <c r="B114" s="222" t="s">
        <v>483</v>
      </c>
      <c r="C114" s="222"/>
      <c r="D114" s="222"/>
      <c r="E114" s="222"/>
      <c r="F114" s="222"/>
      <c r="G114" s="222"/>
      <c r="H114" s="222"/>
      <c r="I114" s="222"/>
      <c r="J114" s="222"/>
      <c r="K114" s="222"/>
      <c r="L114" s="222"/>
    </row>
    <row r="115" spans="1:12" ht="24" customHeight="1">
      <c r="B115" s="302" t="s">
        <v>141</v>
      </c>
      <c r="C115" s="303" t="s">
        <v>142</v>
      </c>
      <c r="D115" s="303" t="s">
        <v>82</v>
      </c>
      <c r="E115" s="303" t="s">
        <v>152</v>
      </c>
      <c r="F115" s="303"/>
      <c r="G115" s="304" t="s">
        <v>81</v>
      </c>
      <c r="H115" s="304" t="s">
        <v>143</v>
      </c>
      <c r="I115" s="304" t="s">
        <v>144</v>
      </c>
      <c r="J115" s="304" t="s">
        <v>145</v>
      </c>
      <c r="K115" s="304" t="s">
        <v>146</v>
      </c>
      <c r="L115" s="329" t="s">
        <v>484</v>
      </c>
    </row>
    <row r="116" spans="1:12">
      <c r="B116" s="38" t="s">
        <v>485</v>
      </c>
      <c r="C116" s="325">
        <f>_xlfn.XLOOKUP(C$13,Turbine_models,Turbine_foundation_area)</f>
        <v>7.0685834705770345</v>
      </c>
      <c r="D116" s="263" t="s">
        <v>486</v>
      </c>
      <c r="L116" s="330" t="s">
        <v>487</v>
      </c>
    </row>
    <row r="117" spans="1:12">
      <c r="B117" s="38" t="s">
        <v>488</v>
      </c>
      <c r="C117" s="325">
        <f>_xlfn.XLOOKUP(C$13,Turbine_models,Turbine_foundation_thickness)</f>
        <v>1.5</v>
      </c>
      <c r="D117" s="263" t="s">
        <v>299</v>
      </c>
      <c r="L117" s="73"/>
    </row>
    <row r="118" spans="1:12">
      <c r="B118" s="38" t="s">
        <v>489</v>
      </c>
      <c r="C118" s="75">
        <v>1.5</v>
      </c>
      <c r="D118" s="263" t="s">
        <v>299</v>
      </c>
      <c r="L118" s="73"/>
    </row>
    <row r="119" spans="1:12" ht="13">
      <c r="B119" s="38" t="s">
        <v>490</v>
      </c>
      <c r="C119" s="298">
        <f>C116*C118*C$14</f>
        <v>0</v>
      </c>
      <c r="D119" s="263" t="s">
        <v>491</v>
      </c>
      <c r="E119" s="328" t="str">
        <f>E78</f>
        <v>Large turbine</v>
      </c>
      <c r="G119" s="48">
        <f>IF(E119=Small_turbine,Foundation_demolition_small_rate,Foundation_demolition_large_rate)</f>
        <v>34.001501040476498</v>
      </c>
      <c r="H119" s="72"/>
      <c r="I119" s="49">
        <f>IF(H119="",G119,H119)</f>
        <v>34.001501040476498</v>
      </c>
      <c r="J119" s="263" t="s">
        <v>302</v>
      </c>
      <c r="K119" s="46">
        <f>C119*I119</f>
        <v>0</v>
      </c>
      <c r="L119" s="73"/>
    </row>
    <row r="120" spans="1:12">
      <c r="B120" s="38" t="s">
        <v>492</v>
      </c>
      <c r="C120" s="298">
        <f>C119*Concrete_density</f>
        <v>0</v>
      </c>
      <c r="D120" s="263" t="s">
        <v>493</v>
      </c>
      <c r="L120" s="73"/>
    </row>
    <row r="121" spans="1:12">
      <c r="B121" s="15" t="s">
        <v>331</v>
      </c>
      <c r="C121" s="56">
        <f>_xlfn.XLOOKUP(E122,Long_haul_names_concrete_UR,Load_haul_dump_rubble_distance_avg)</f>
        <v>42.5</v>
      </c>
      <c r="D121" s="263" t="s">
        <v>155</v>
      </c>
      <c r="L121" s="82"/>
    </row>
    <row r="122" spans="1:12" ht="13">
      <c r="B122" s="57" t="s">
        <v>494</v>
      </c>
      <c r="C122" s="301">
        <f>C121*C120</f>
        <v>0</v>
      </c>
      <c r="D122" s="263" t="s">
        <v>169</v>
      </c>
      <c r="E122" s="77" t="s">
        <v>495</v>
      </c>
      <c r="G122" s="48">
        <f>_xlfn.XLOOKUP(E122,Long_haul_names_concrete_UR,Long_haul_rates_concrete_UR)</f>
        <v>0.70658733062141477</v>
      </c>
      <c r="H122" s="72"/>
      <c r="I122" s="49">
        <f>IF(H122="",G122,H122)</f>
        <v>0.70658733062141477</v>
      </c>
      <c r="J122" s="263" t="s">
        <v>169</v>
      </c>
      <c r="K122" s="46">
        <f>I122*C122</f>
        <v>0</v>
      </c>
      <c r="L122" s="82"/>
    </row>
    <row r="123" spans="1:12" ht="13">
      <c r="B123" s="57" t="s">
        <v>334</v>
      </c>
      <c r="C123" s="298">
        <f>C120</f>
        <v>0</v>
      </c>
      <c r="D123" s="263" t="s">
        <v>318</v>
      </c>
      <c r="E123" s="300" t="str">
        <f>Disposal_gate_fee_Construction_Debris</f>
        <v>Disposal (gate fee) construction debris</v>
      </c>
      <c r="G123" s="48">
        <f>Disposal_gate_fee_Construction_Debris_rate</f>
        <v>70</v>
      </c>
      <c r="H123" s="72"/>
      <c r="I123" s="49">
        <f>IF(H123="",G123,H123)</f>
        <v>70</v>
      </c>
      <c r="J123" s="263" t="s">
        <v>318</v>
      </c>
      <c r="K123" s="46">
        <f>I123*C123</f>
        <v>0</v>
      </c>
      <c r="L123" s="82" t="s">
        <v>496</v>
      </c>
    </row>
    <row r="124" spans="1:12" ht="13">
      <c r="B124" s="57" t="s">
        <v>336</v>
      </c>
      <c r="C124" s="298">
        <f>C120</f>
        <v>0</v>
      </c>
      <c r="D124" s="263" t="s">
        <v>318</v>
      </c>
      <c r="E124" s="77" t="s">
        <v>342</v>
      </c>
      <c r="G124" s="48">
        <f>_xlfn.XLOOKUP(E124,Waste_levy_names,Waste_levy_rates)</f>
        <v>85.5</v>
      </c>
      <c r="H124" s="72"/>
      <c r="I124" s="49">
        <f>IF(H124="",G124,H124)</f>
        <v>85.5</v>
      </c>
      <c r="J124" s="263" t="s">
        <v>318</v>
      </c>
      <c r="K124" s="46">
        <f>I124*C124</f>
        <v>0</v>
      </c>
      <c r="L124" s="82" t="s">
        <v>496</v>
      </c>
    </row>
    <row r="125" spans="1:12">
      <c r="B125" s="57" t="s">
        <v>497</v>
      </c>
      <c r="C125" s="301">
        <f>_xlfn.XLOOKUP(C$13,Turbine_models,Turbine_bolts)</f>
        <v>5.875</v>
      </c>
      <c r="D125" s="263" t="s">
        <v>498</v>
      </c>
      <c r="L125" s="82"/>
    </row>
    <row r="126" spans="1:12" ht="13">
      <c r="B126" s="57" t="s">
        <v>497</v>
      </c>
      <c r="C126" s="301">
        <f>C125*C14</f>
        <v>0</v>
      </c>
      <c r="D126" s="263" t="s">
        <v>499</v>
      </c>
      <c r="G126" s="48">
        <f>'Cost Schedule'!C454</f>
        <v>89.774867508965912</v>
      </c>
      <c r="H126" s="72"/>
      <c r="I126" s="49">
        <f>IF(H126="",G126,H126)</f>
        <v>89.774867508965912</v>
      </c>
      <c r="J126" s="263" t="s">
        <v>1362</v>
      </c>
      <c r="K126" s="46">
        <f>I126*C126</f>
        <v>0</v>
      </c>
      <c r="L126" s="82"/>
    </row>
    <row r="127" spans="1:12">
      <c r="C127" s="308"/>
      <c r="K127" s="244"/>
      <c r="L127" s="82"/>
    </row>
    <row r="128" spans="1:12" ht="13">
      <c r="B128" s="309" t="str">
        <f>B$22</f>
        <v>Totals</v>
      </c>
      <c r="C128" s="290">
        <f>C120</f>
        <v>0</v>
      </c>
      <c r="D128" s="263" t="s">
        <v>318</v>
      </c>
      <c r="H128" s="280" t="s">
        <v>500</v>
      </c>
      <c r="I128" s="51">
        <f>IF(C128=0,0,K128/C128)</f>
        <v>0</v>
      </c>
      <c r="J128" s="281" t="s">
        <v>501</v>
      </c>
      <c r="K128" s="44">
        <f>SUM(K115:K127)</f>
        <v>0</v>
      </c>
      <c r="L128" s="82"/>
    </row>
    <row r="129" spans="1:12">
      <c r="L129" s="82"/>
    </row>
    <row r="130" spans="1:12" ht="13">
      <c r="A130" s="244"/>
      <c r="B130" s="222" t="s">
        <v>212</v>
      </c>
      <c r="C130" s="222"/>
      <c r="D130" s="222"/>
      <c r="E130" s="222"/>
      <c r="F130" s="222"/>
      <c r="G130" s="222"/>
      <c r="H130" s="222"/>
      <c r="I130" s="222"/>
      <c r="J130" s="222"/>
      <c r="K130" s="222"/>
      <c r="L130" s="222"/>
    </row>
    <row r="131" spans="1:12" ht="44.5" customHeight="1">
      <c r="B131" s="272" t="s">
        <v>141</v>
      </c>
      <c r="C131" s="273" t="s">
        <v>142</v>
      </c>
      <c r="D131" s="273" t="s">
        <v>82</v>
      </c>
      <c r="E131" s="276" t="s">
        <v>152</v>
      </c>
      <c r="F131" s="276"/>
      <c r="G131" s="275" t="s">
        <v>81</v>
      </c>
      <c r="H131" s="275" t="s">
        <v>143</v>
      </c>
      <c r="I131" s="275" t="s">
        <v>144</v>
      </c>
      <c r="J131" s="275" t="s">
        <v>145</v>
      </c>
      <c r="K131" s="275" t="s">
        <v>146</v>
      </c>
      <c r="L131" s="92" t="s">
        <v>502</v>
      </c>
    </row>
    <row r="132" spans="1:12" ht="13">
      <c r="B132" s="38" t="s">
        <v>213</v>
      </c>
      <c r="C132" s="67"/>
      <c r="D132" s="263" t="s">
        <v>135</v>
      </c>
      <c r="E132" s="74" t="s">
        <v>214</v>
      </c>
      <c r="F132" s="77" t="s">
        <v>215</v>
      </c>
      <c r="G132" s="39" cm="1">
        <f t="array" ref="G132">_xlfn.XLOOKUP(1,('Cost Schedule'!$B$408:$B$425=E132)*('Cost Schedule'!$A$408:$A$425=F132),'Cost Schedule'!$C$408:$C$425)</f>
        <v>1226.4586059565711</v>
      </c>
      <c r="H132" s="72"/>
      <c r="I132" s="40">
        <f t="shared" ref="I132:I149" si="3">IF(H132="",G132,H132)</f>
        <v>1226.4586059565711</v>
      </c>
      <c r="J132" s="263" t="s">
        <v>135</v>
      </c>
      <c r="K132" s="52">
        <f t="shared" ref="K132:K149" si="4">I132*C132</f>
        <v>0</v>
      </c>
      <c r="L132" s="73"/>
    </row>
    <row r="133" spans="1:12" ht="13">
      <c r="B133" s="38" t="s">
        <v>216</v>
      </c>
      <c r="C133" s="67"/>
      <c r="D133" s="263" t="s">
        <v>135</v>
      </c>
      <c r="E133" s="74" t="s">
        <v>221</v>
      </c>
      <c r="F133" s="77" t="s">
        <v>215</v>
      </c>
      <c r="G133" s="39" cm="1">
        <f t="array" ref="G133">_xlfn.XLOOKUP(1,('Cost Schedule'!$B$408:$B$425=E133)*('Cost Schedule'!$A$408:$A$425=F133),'Cost Schedule'!$C$408:$C$425)</f>
        <v>2452.9172119131422</v>
      </c>
      <c r="H133" s="72"/>
      <c r="I133" s="40">
        <f t="shared" si="3"/>
        <v>2452.9172119131422</v>
      </c>
      <c r="J133" s="263" t="s">
        <v>135</v>
      </c>
      <c r="K133" s="52">
        <f t="shared" si="4"/>
        <v>0</v>
      </c>
      <c r="L133" s="73"/>
    </row>
    <row r="134" spans="1:12" ht="13">
      <c r="B134" s="38" t="s">
        <v>218</v>
      </c>
      <c r="C134" s="67"/>
      <c r="D134" s="263" t="s">
        <v>135</v>
      </c>
      <c r="E134" s="74" t="s">
        <v>225</v>
      </c>
      <c r="F134" s="77" t="s">
        <v>217</v>
      </c>
      <c r="G134" s="39" cm="1">
        <f t="array" ref="G134">_xlfn.XLOOKUP(1,('Cost Schedule'!$B$408:$B$425=E134)*('Cost Schedule'!$A$408:$A$425=F134),'Cost Schedule'!$C$408:$C$425)</f>
        <v>3962.8002317426135</v>
      </c>
      <c r="H134" s="72"/>
      <c r="I134" s="40">
        <f t="shared" si="3"/>
        <v>3962.8002317426135</v>
      </c>
      <c r="J134" s="263" t="s">
        <v>135</v>
      </c>
      <c r="K134" s="52">
        <f t="shared" si="4"/>
        <v>0</v>
      </c>
      <c r="L134" s="73"/>
    </row>
    <row r="135" spans="1:12" ht="13">
      <c r="B135" s="38" t="s">
        <v>220</v>
      </c>
      <c r="C135" s="67"/>
      <c r="D135" s="263" t="s">
        <v>135</v>
      </c>
      <c r="E135" s="74" t="s">
        <v>219</v>
      </c>
      <c r="F135" s="77" t="s">
        <v>226</v>
      </c>
      <c r="G135" s="39" cm="1">
        <f t="array" ref="G135">_xlfn.XLOOKUP(1,('Cost Schedule'!$B$408:$B$425=E135)*('Cost Schedule'!$A$408:$A$425=F135),'Cost Schedule'!$C$408:$C$425)</f>
        <v>4263.6444557728655</v>
      </c>
      <c r="H135" s="72"/>
      <c r="I135" s="40">
        <f t="shared" si="3"/>
        <v>4263.6444557728655</v>
      </c>
      <c r="J135" s="263" t="s">
        <v>135</v>
      </c>
      <c r="K135" s="52">
        <f t="shared" si="4"/>
        <v>0</v>
      </c>
      <c r="L135" s="73"/>
    </row>
    <row r="136" spans="1:12" ht="13">
      <c r="B136" s="38" t="s">
        <v>222</v>
      </c>
      <c r="C136" s="67"/>
      <c r="D136" s="263" t="s">
        <v>135</v>
      </c>
      <c r="E136" s="74" t="s">
        <v>221</v>
      </c>
      <c r="F136" s="77" t="s">
        <v>215</v>
      </c>
      <c r="G136" s="39" cm="1">
        <f t="array" ref="G136">_xlfn.XLOOKUP(1,('Cost Schedule'!$B$408:$B$425=E136)*('Cost Schedule'!$A$408:$A$425=F136),'Cost Schedule'!$C$408:$C$425)</f>
        <v>2452.9172119131422</v>
      </c>
      <c r="H136" s="72"/>
      <c r="I136" s="40">
        <f t="shared" si="3"/>
        <v>2452.9172119131422</v>
      </c>
      <c r="J136" s="263" t="s">
        <v>135</v>
      </c>
      <c r="K136" s="52">
        <f t="shared" si="4"/>
        <v>0</v>
      </c>
      <c r="L136" s="73"/>
    </row>
    <row r="137" spans="1:12" ht="13">
      <c r="B137" s="38" t="s">
        <v>223</v>
      </c>
      <c r="C137" s="67"/>
      <c r="D137" s="263" t="s">
        <v>135</v>
      </c>
      <c r="E137" s="74" t="s">
        <v>221</v>
      </c>
      <c r="F137" s="77" t="s">
        <v>217</v>
      </c>
      <c r="G137" s="39" cm="1">
        <f t="array" ref="G137">_xlfn.XLOOKUP(1,('Cost Schedule'!$B$408:$B$425=E137)*('Cost Schedule'!$A$408:$A$425=F137),'Cost Schedule'!$C$408:$C$425)</f>
        <v>3166.9172119131426</v>
      </c>
      <c r="H137" s="72"/>
      <c r="I137" s="40">
        <f t="shared" si="3"/>
        <v>3166.9172119131426</v>
      </c>
      <c r="J137" s="263" t="s">
        <v>135</v>
      </c>
      <c r="K137" s="52">
        <f t="shared" si="4"/>
        <v>0</v>
      </c>
      <c r="L137" s="73"/>
    </row>
    <row r="138" spans="1:12" ht="13">
      <c r="B138" s="38" t="s">
        <v>224</v>
      </c>
      <c r="C138" s="67"/>
      <c r="D138" s="263" t="s">
        <v>135</v>
      </c>
      <c r="E138" s="74" t="s">
        <v>225</v>
      </c>
      <c r="F138" s="77" t="s">
        <v>226</v>
      </c>
      <c r="G138" s="39" cm="1">
        <f t="array" ref="G138">_xlfn.XLOOKUP(1,('Cost Schedule'!$B$408:$B$425=E138)*('Cost Schedule'!$A$408:$A$425=F138),'Cost Schedule'!$C$408:$C$425)</f>
        <v>2677.4167052488369</v>
      </c>
      <c r="H138" s="72"/>
      <c r="I138" s="40">
        <f t="shared" si="3"/>
        <v>2677.4167052488369</v>
      </c>
      <c r="J138" s="263" t="s">
        <v>135</v>
      </c>
      <c r="K138" s="52">
        <f t="shared" si="4"/>
        <v>0</v>
      </c>
      <c r="L138" s="73"/>
    </row>
    <row r="139" spans="1:12" ht="13">
      <c r="B139" s="38" t="s">
        <v>227</v>
      </c>
      <c r="C139" s="67"/>
      <c r="D139" s="263" t="s">
        <v>135</v>
      </c>
      <c r="E139" s="74" t="s">
        <v>225</v>
      </c>
      <c r="F139" s="77" t="s">
        <v>215</v>
      </c>
      <c r="G139" s="39" cm="1">
        <f t="array" ref="G139">_xlfn.XLOOKUP(1,('Cost Schedule'!$B$408:$B$425=E139)*('Cost Schedule'!$A$408:$A$425=F139),'Cost Schedule'!$C$408:$C$425)</f>
        <v>3605.8002317426135</v>
      </c>
      <c r="H139" s="72"/>
      <c r="I139" s="40">
        <f t="shared" si="3"/>
        <v>3605.8002317426135</v>
      </c>
      <c r="J139" s="263" t="s">
        <v>135</v>
      </c>
      <c r="K139" s="52">
        <f t="shared" si="4"/>
        <v>0</v>
      </c>
      <c r="L139" s="73"/>
    </row>
    <row r="140" spans="1:12" ht="13">
      <c r="B140" s="38" t="s">
        <v>228</v>
      </c>
      <c r="C140" s="67"/>
      <c r="D140" s="263" t="s">
        <v>135</v>
      </c>
      <c r="E140" s="74" t="s">
        <v>225</v>
      </c>
      <c r="F140" s="77" t="s">
        <v>217</v>
      </c>
      <c r="G140" s="39" cm="1">
        <f t="array" ref="G140">_xlfn.XLOOKUP(1,('Cost Schedule'!$B$408:$B$425=E140)*('Cost Schedule'!$A$408:$A$425=F140),'Cost Schedule'!$C$408:$C$425)</f>
        <v>3962.8002317426135</v>
      </c>
      <c r="H140" s="72"/>
      <c r="I140" s="40">
        <f t="shared" si="3"/>
        <v>3962.8002317426135</v>
      </c>
      <c r="J140" s="263" t="s">
        <v>135</v>
      </c>
      <c r="K140" s="52">
        <f t="shared" si="4"/>
        <v>0</v>
      </c>
      <c r="L140" s="73"/>
    </row>
    <row r="141" spans="1:12" ht="13">
      <c r="B141" s="38" t="s">
        <v>229</v>
      </c>
      <c r="C141" s="67"/>
      <c r="D141" s="263" t="s">
        <v>135</v>
      </c>
      <c r="E141" s="74" t="s">
        <v>230</v>
      </c>
      <c r="F141" s="77" t="s">
        <v>226</v>
      </c>
      <c r="G141" s="39" cm="1">
        <f t="array" ref="G141">_xlfn.XLOOKUP(1,('Cost Schedule'!$B$408:$B$425=E141)*('Cost Schedule'!$A$408:$A$425=F141),'Cost Schedule'!$C$408:$C$425)</f>
        <v>5354.8334104976739</v>
      </c>
      <c r="H141" s="72"/>
      <c r="I141" s="40">
        <f t="shared" si="3"/>
        <v>5354.8334104976739</v>
      </c>
      <c r="J141" s="263" t="s">
        <v>135</v>
      </c>
      <c r="K141" s="52">
        <f t="shared" si="4"/>
        <v>0</v>
      </c>
      <c r="L141" s="73"/>
    </row>
    <row r="142" spans="1:12" ht="13">
      <c r="B142" s="38" t="s">
        <v>231</v>
      </c>
      <c r="C142" s="67"/>
      <c r="D142" s="263" t="s">
        <v>135</v>
      </c>
      <c r="E142" s="74" t="s">
        <v>230</v>
      </c>
      <c r="F142" s="77" t="s">
        <v>215</v>
      </c>
      <c r="G142" s="39" cm="1">
        <f t="array" ref="G142">_xlfn.XLOOKUP(1,('Cost Schedule'!$B$408:$B$425=E142)*('Cost Schedule'!$A$408:$A$425=F142),'Cost Schedule'!$C$408:$C$425)</f>
        <v>7211.600463485227</v>
      </c>
      <c r="H142" s="72"/>
      <c r="I142" s="40">
        <f t="shared" si="3"/>
        <v>7211.600463485227</v>
      </c>
      <c r="J142" s="263" t="s">
        <v>135</v>
      </c>
      <c r="K142" s="52">
        <f t="shared" si="4"/>
        <v>0</v>
      </c>
      <c r="L142" s="73"/>
    </row>
    <row r="143" spans="1:12" ht="13">
      <c r="B143" s="38" t="s">
        <v>232</v>
      </c>
      <c r="C143" s="67"/>
      <c r="D143" s="263" t="s">
        <v>135</v>
      </c>
      <c r="E143" s="74" t="s">
        <v>230</v>
      </c>
      <c r="F143" s="77" t="s">
        <v>217</v>
      </c>
      <c r="G143" s="39" cm="1">
        <f t="array" ref="G143">_xlfn.XLOOKUP(1,('Cost Schedule'!$B$408:$B$425=E143)*('Cost Schedule'!$A$408:$A$425=F143),'Cost Schedule'!$C$408:$C$425)</f>
        <v>7925.600463485227</v>
      </c>
      <c r="H143" s="72"/>
      <c r="I143" s="40">
        <f t="shared" si="3"/>
        <v>7925.600463485227</v>
      </c>
      <c r="J143" s="263" t="s">
        <v>135</v>
      </c>
      <c r="K143" s="52">
        <f t="shared" si="4"/>
        <v>0</v>
      </c>
      <c r="L143" s="73"/>
    </row>
    <row r="144" spans="1:12" ht="13">
      <c r="B144" s="38" t="s">
        <v>233</v>
      </c>
      <c r="C144" s="67"/>
      <c r="D144" s="263" t="s">
        <v>135</v>
      </c>
      <c r="E144" s="74" t="s">
        <v>219</v>
      </c>
      <c r="F144" s="77" t="s">
        <v>226</v>
      </c>
      <c r="G144" s="39" cm="1">
        <f t="array" ref="G144">_xlfn.XLOOKUP(1,('Cost Schedule'!$B$408:$B$425=E144)*('Cost Schedule'!$A$408:$A$425=F144),'Cost Schedule'!$C$408:$C$425)</f>
        <v>4263.6444557728655</v>
      </c>
      <c r="H144" s="72"/>
      <c r="I144" s="40">
        <f t="shared" si="3"/>
        <v>4263.6444557728655</v>
      </c>
      <c r="J144" s="263" t="s">
        <v>135</v>
      </c>
      <c r="K144" s="52">
        <f t="shared" si="4"/>
        <v>0</v>
      </c>
      <c r="L144" s="73"/>
    </row>
    <row r="145" spans="1:12" ht="13">
      <c r="B145" s="38" t="s">
        <v>234</v>
      </c>
      <c r="C145" s="67"/>
      <c r="D145" s="263" t="s">
        <v>135</v>
      </c>
      <c r="E145" s="74" t="s">
        <v>219</v>
      </c>
      <c r="F145" s="77" t="s">
        <v>215</v>
      </c>
      <c r="G145" s="39" cm="1">
        <f t="array" ref="G145">_xlfn.XLOOKUP(1,('Cost Schedule'!$B$408:$B$425=E145)*('Cost Schedule'!$A$408:$A$425=F145),'Cost Schedule'!$C$408:$C$425)</f>
        <v>5192.0279822666425</v>
      </c>
      <c r="H145" s="72"/>
      <c r="I145" s="40">
        <f t="shared" si="3"/>
        <v>5192.0279822666425</v>
      </c>
      <c r="J145" s="263" t="s">
        <v>135</v>
      </c>
      <c r="K145" s="52">
        <f t="shared" si="4"/>
        <v>0</v>
      </c>
      <c r="L145" s="73"/>
    </row>
    <row r="146" spans="1:12" ht="13">
      <c r="B146" s="38" t="s">
        <v>235</v>
      </c>
      <c r="C146" s="67"/>
      <c r="D146" s="263" t="s">
        <v>135</v>
      </c>
      <c r="E146" s="74" t="s">
        <v>219</v>
      </c>
      <c r="F146" s="77" t="s">
        <v>217</v>
      </c>
      <c r="G146" s="39" cm="1">
        <f t="array" ref="G146">_xlfn.XLOOKUP(1,('Cost Schedule'!$B$408:$B$425=E146)*('Cost Schedule'!$A$408:$A$425=F146),'Cost Schedule'!$C$408:$C$425)</f>
        <v>5549.0279822666425</v>
      </c>
      <c r="H146" s="72"/>
      <c r="I146" s="40">
        <f t="shared" si="3"/>
        <v>5549.0279822666425</v>
      </c>
      <c r="J146" s="263" t="s">
        <v>135</v>
      </c>
      <c r="K146" s="52">
        <f t="shared" si="4"/>
        <v>0</v>
      </c>
      <c r="L146" s="73"/>
    </row>
    <row r="147" spans="1:12" ht="13">
      <c r="B147" s="38" t="s">
        <v>236</v>
      </c>
      <c r="C147" s="67"/>
      <c r="D147" s="263" t="s">
        <v>135</v>
      </c>
      <c r="E147" s="74" t="s">
        <v>237</v>
      </c>
      <c r="F147" s="77" t="s">
        <v>226</v>
      </c>
      <c r="G147" s="39" cm="1">
        <f t="array" ref="G147">_xlfn.XLOOKUP(1,('Cost Schedule'!$B$408:$B$425=E147)*('Cost Schedule'!$A$408:$A$425=F147),'Cost Schedule'!$C$408:$C$425)</f>
        <v>8527.288911545731</v>
      </c>
      <c r="H147" s="72"/>
      <c r="I147" s="40">
        <f t="shared" si="3"/>
        <v>8527.288911545731</v>
      </c>
      <c r="J147" s="263" t="s">
        <v>135</v>
      </c>
      <c r="K147" s="52">
        <f t="shared" si="4"/>
        <v>0</v>
      </c>
      <c r="L147" s="73"/>
    </row>
    <row r="148" spans="1:12" ht="13">
      <c r="B148" s="38" t="s">
        <v>238</v>
      </c>
      <c r="C148" s="67"/>
      <c r="D148" s="263" t="s">
        <v>135</v>
      </c>
      <c r="E148" s="74" t="s">
        <v>237</v>
      </c>
      <c r="F148" s="77" t="s">
        <v>215</v>
      </c>
      <c r="G148" s="39" cm="1">
        <f t="array" ref="G148">_xlfn.XLOOKUP(1,('Cost Schedule'!$B$408:$B$425=E148)*('Cost Schedule'!$A$408:$A$425=F148),'Cost Schedule'!$C$408:$C$425)</f>
        <v>10384.055964533285</v>
      </c>
      <c r="H148" s="72"/>
      <c r="I148" s="40">
        <f t="shared" si="3"/>
        <v>10384.055964533285</v>
      </c>
      <c r="J148" s="263" t="s">
        <v>135</v>
      </c>
      <c r="K148" s="52">
        <f t="shared" si="4"/>
        <v>0</v>
      </c>
      <c r="L148" s="73"/>
    </row>
    <row r="149" spans="1:12" ht="13">
      <c r="B149" s="38" t="s">
        <v>239</v>
      </c>
      <c r="C149" s="67"/>
      <c r="D149" s="263" t="s">
        <v>135</v>
      </c>
      <c r="E149" s="74" t="s">
        <v>237</v>
      </c>
      <c r="F149" s="77" t="s">
        <v>217</v>
      </c>
      <c r="G149" s="39" cm="1">
        <f t="array" ref="G149">_xlfn.XLOOKUP(1,('Cost Schedule'!$B$408:$B$425=E149)*('Cost Schedule'!$A$408:$A$425=F149),'Cost Schedule'!$C$408:$C$425)</f>
        <v>11098.055964533285</v>
      </c>
      <c r="H149" s="72"/>
      <c r="I149" s="40">
        <f t="shared" si="3"/>
        <v>11098.055964533285</v>
      </c>
      <c r="J149" s="263" t="s">
        <v>135</v>
      </c>
      <c r="K149" s="52">
        <f t="shared" si="4"/>
        <v>0</v>
      </c>
      <c r="L149" s="73"/>
    </row>
    <row r="150" spans="1:12">
      <c r="C150" s="308"/>
      <c r="I150" s="278"/>
      <c r="L150" s="70"/>
    </row>
    <row r="151" spans="1:12" ht="13">
      <c r="B151" s="309" t="str">
        <f>B$22</f>
        <v>Totals</v>
      </c>
      <c r="C151" s="290">
        <f>SUM(C132:C149)</f>
        <v>0</v>
      </c>
      <c r="D151" s="263" t="s">
        <v>135</v>
      </c>
      <c r="H151" s="280" t="s">
        <v>240</v>
      </c>
      <c r="I151" s="51">
        <f>IF(C151=0,0,K151/C151)</f>
        <v>0</v>
      </c>
      <c r="J151" s="281" t="s">
        <v>324</v>
      </c>
      <c r="K151" s="44">
        <f>SUM(K131:K150)</f>
        <v>0</v>
      </c>
      <c r="L151" s="73"/>
    </row>
    <row r="152" spans="1:12">
      <c r="L152" s="70"/>
    </row>
    <row r="153" spans="1:12" ht="13">
      <c r="A153" s="244"/>
      <c r="B153" s="222" t="s">
        <v>242</v>
      </c>
      <c r="C153" s="222"/>
      <c r="D153" s="222"/>
      <c r="E153" s="222"/>
      <c r="F153" s="222"/>
      <c r="G153" s="222"/>
      <c r="H153" s="222"/>
      <c r="I153" s="222"/>
      <c r="J153" s="222"/>
      <c r="K153" s="222"/>
      <c r="L153" s="222"/>
    </row>
    <row r="154" spans="1:12" ht="18" customHeight="1">
      <c r="B154" s="272" t="s">
        <v>141</v>
      </c>
      <c r="C154" s="273" t="s">
        <v>142</v>
      </c>
      <c r="D154" s="273" t="s">
        <v>82</v>
      </c>
      <c r="E154" s="276" t="s">
        <v>152</v>
      </c>
      <c r="F154" s="276"/>
      <c r="G154" s="275" t="s">
        <v>81</v>
      </c>
      <c r="H154" s="275" t="s">
        <v>143</v>
      </c>
      <c r="I154" s="275" t="s">
        <v>144</v>
      </c>
      <c r="J154" s="275" t="s">
        <v>145</v>
      </c>
      <c r="K154" s="275" t="s">
        <v>146</v>
      </c>
      <c r="L154" s="70"/>
    </row>
    <row r="155" spans="1:12" ht="13">
      <c r="B155" s="38" t="s">
        <v>243</v>
      </c>
      <c r="C155" s="67"/>
      <c r="D155" s="263" t="s">
        <v>135</v>
      </c>
      <c r="E155" s="74" t="s">
        <v>244</v>
      </c>
      <c r="F155" s="77" t="s">
        <v>217</v>
      </c>
      <c r="G155" s="39" cm="1">
        <f t="array" ref="G155">_xlfn.XLOOKUP(1,('Cost Schedule'!$B$222:$B$230=E155)*('Cost Schedule'!$A$222:$A$230=F155),'Cost Schedule'!$C$222:$C$230)</f>
        <v>5985.8030455049229</v>
      </c>
      <c r="H155" s="72"/>
      <c r="I155" s="40">
        <f t="shared" ref="I155:I164" si="5">IF(H155="",G155,H155)</f>
        <v>5985.8030455049229</v>
      </c>
      <c r="J155" s="263" t="s">
        <v>135</v>
      </c>
      <c r="K155" s="46">
        <f t="shared" ref="K155:K164" si="6">I155*C155</f>
        <v>0</v>
      </c>
      <c r="L155" s="73"/>
    </row>
    <row r="156" spans="1:12" ht="13">
      <c r="B156" s="38" t="s">
        <v>245</v>
      </c>
      <c r="C156" s="67"/>
      <c r="D156" s="263" t="s">
        <v>135</v>
      </c>
      <c r="E156" s="74" t="s">
        <v>246</v>
      </c>
      <c r="F156" s="77" t="s">
        <v>226</v>
      </c>
      <c r="G156" s="39" cm="1">
        <f t="array" ref="G156">_xlfn.XLOOKUP(1,('Cost Schedule'!$B$222:$B$230=E156)*('Cost Schedule'!$A$222:$A$230=F156),'Cost Schedule'!$C$222:$C$230)</f>
        <v>17563.468795765948</v>
      </c>
      <c r="H156" s="72"/>
      <c r="I156" s="40">
        <f t="shared" si="5"/>
        <v>17563.468795765948</v>
      </c>
      <c r="J156" s="263" t="s">
        <v>135</v>
      </c>
      <c r="K156" s="46">
        <f t="shared" si="6"/>
        <v>0</v>
      </c>
      <c r="L156" s="73"/>
    </row>
    <row r="157" spans="1:12" ht="13">
      <c r="B157" s="38" t="s">
        <v>247</v>
      </c>
      <c r="C157" s="67"/>
      <c r="D157" s="263" t="s">
        <v>135</v>
      </c>
      <c r="E157" s="74" t="s">
        <v>248</v>
      </c>
      <c r="F157" s="77" t="s">
        <v>217</v>
      </c>
      <c r="G157" s="39" cm="1">
        <f t="array" ref="G157">_xlfn.XLOOKUP(1,('Cost Schedule'!$B$222:$B$230=E157)*('Cost Schedule'!$A$222:$A$230=F157),'Cost Schedule'!$C$222:$C$230)</f>
        <v>64965.977915551659</v>
      </c>
      <c r="H157" s="72"/>
      <c r="I157" s="40">
        <f t="shared" si="5"/>
        <v>64965.977915551659</v>
      </c>
      <c r="J157" s="263" t="s">
        <v>135</v>
      </c>
      <c r="K157" s="46">
        <f t="shared" si="6"/>
        <v>0</v>
      </c>
      <c r="L157" s="73"/>
    </row>
    <row r="158" spans="1:12" ht="13">
      <c r="B158" s="38" t="s">
        <v>249</v>
      </c>
      <c r="C158" s="67"/>
      <c r="D158" s="263" t="s">
        <v>135</v>
      </c>
      <c r="E158" s="74" t="s">
        <v>244</v>
      </c>
      <c r="F158" s="77" t="s">
        <v>217</v>
      </c>
      <c r="G158" s="39" cm="1">
        <f t="array" ref="G158">_xlfn.XLOOKUP(1,('Cost Schedule'!$B$222:$B$230=E158)*('Cost Schedule'!$A$222:$A$230=F158),'Cost Schedule'!$C$222:$C$230)</f>
        <v>5985.8030455049229</v>
      </c>
      <c r="H158" s="72"/>
      <c r="I158" s="40">
        <f t="shared" si="5"/>
        <v>5985.8030455049229</v>
      </c>
      <c r="J158" s="263" t="s">
        <v>135</v>
      </c>
      <c r="K158" s="46">
        <f t="shared" si="6"/>
        <v>0</v>
      </c>
      <c r="L158" s="73"/>
    </row>
    <row r="159" spans="1:12" ht="13">
      <c r="B159" s="38" t="s">
        <v>250</v>
      </c>
      <c r="C159" s="67"/>
      <c r="D159" s="263" t="s">
        <v>135</v>
      </c>
      <c r="E159" s="74" t="s">
        <v>244</v>
      </c>
      <c r="F159" s="77" t="s">
        <v>217</v>
      </c>
      <c r="G159" s="39" cm="1">
        <f t="array" ref="G159">_xlfn.XLOOKUP(1,('Cost Schedule'!$B$222:$B$230=E159)*('Cost Schedule'!$A$222:$A$230=F159),'Cost Schedule'!$C$222:$C$230)</f>
        <v>5985.8030455049229</v>
      </c>
      <c r="H159" s="72"/>
      <c r="I159" s="40">
        <f t="shared" si="5"/>
        <v>5985.8030455049229</v>
      </c>
      <c r="J159" s="263" t="s">
        <v>135</v>
      </c>
      <c r="K159" s="46">
        <f t="shared" si="6"/>
        <v>0</v>
      </c>
      <c r="L159" s="73"/>
    </row>
    <row r="160" spans="1:12" ht="13">
      <c r="B160" s="38" t="s">
        <v>251</v>
      </c>
      <c r="C160" s="67"/>
      <c r="D160" s="263" t="s">
        <v>135</v>
      </c>
      <c r="E160" s="74" t="s">
        <v>244</v>
      </c>
      <c r="F160" s="77" t="s">
        <v>217</v>
      </c>
      <c r="G160" s="39" cm="1">
        <f t="array" ref="G160">_xlfn.XLOOKUP(1,('Cost Schedule'!$B$222:$B$230=E160)*('Cost Schedule'!$A$222:$A$230=F160),'Cost Schedule'!$C$222:$C$230)</f>
        <v>5985.8030455049229</v>
      </c>
      <c r="H160" s="72"/>
      <c r="I160" s="40">
        <f t="shared" si="5"/>
        <v>5985.8030455049229</v>
      </c>
      <c r="J160" s="263" t="s">
        <v>135</v>
      </c>
      <c r="K160" s="46">
        <f t="shared" si="6"/>
        <v>0</v>
      </c>
      <c r="L160" s="73"/>
    </row>
    <row r="161" spans="1:12" ht="13">
      <c r="B161" s="38" t="s">
        <v>252</v>
      </c>
      <c r="C161" s="67"/>
      <c r="D161" s="263" t="s">
        <v>135</v>
      </c>
      <c r="E161" s="74" t="s">
        <v>244</v>
      </c>
      <c r="F161" s="77" t="s">
        <v>217</v>
      </c>
      <c r="G161" s="39" cm="1">
        <f t="array" ref="G161">_xlfn.XLOOKUP(1,('Cost Schedule'!$B$222:$B$230=E161)*('Cost Schedule'!$A$222:$A$230=F161),'Cost Schedule'!$C$222:$C$230)</f>
        <v>5985.8030455049229</v>
      </c>
      <c r="H161" s="72"/>
      <c r="I161" s="40">
        <f t="shared" si="5"/>
        <v>5985.8030455049229</v>
      </c>
      <c r="J161" s="263" t="s">
        <v>135</v>
      </c>
      <c r="K161" s="46">
        <f t="shared" si="6"/>
        <v>0</v>
      </c>
      <c r="L161" s="73"/>
    </row>
    <row r="162" spans="1:12" ht="13">
      <c r="B162" s="38" t="s">
        <v>253</v>
      </c>
      <c r="C162" s="67"/>
      <c r="D162" s="263" t="s">
        <v>135</v>
      </c>
      <c r="E162" s="74" t="s">
        <v>244</v>
      </c>
      <c r="F162" s="77" t="s">
        <v>217</v>
      </c>
      <c r="G162" s="39" cm="1">
        <f t="array" ref="G162">_xlfn.XLOOKUP(1,('Cost Schedule'!$B$222:$B$230=E162)*('Cost Schedule'!$A$222:$A$230=F162),'Cost Schedule'!$C$222:$C$230)</f>
        <v>5985.8030455049229</v>
      </c>
      <c r="H162" s="72"/>
      <c r="I162" s="40">
        <f t="shared" si="5"/>
        <v>5985.8030455049229</v>
      </c>
      <c r="J162" s="263" t="s">
        <v>135</v>
      </c>
      <c r="K162" s="46">
        <f t="shared" si="6"/>
        <v>0</v>
      </c>
      <c r="L162" s="73"/>
    </row>
    <row r="163" spans="1:12" ht="13">
      <c r="B163" s="38" t="s">
        <v>254</v>
      </c>
      <c r="C163" s="67"/>
      <c r="D163" s="263" t="s">
        <v>135</v>
      </c>
      <c r="E163" s="74" t="s">
        <v>244</v>
      </c>
      <c r="F163" s="77" t="s">
        <v>217</v>
      </c>
      <c r="G163" s="39" cm="1">
        <f t="array" ref="G163">_xlfn.XLOOKUP(1,('Cost Schedule'!$B$222:$B$230=E163)*('Cost Schedule'!$A$222:$A$230=F163),'Cost Schedule'!$C$222:$C$230)</f>
        <v>5985.8030455049229</v>
      </c>
      <c r="H163" s="72"/>
      <c r="I163" s="40">
        <f t="shared" si="5"/>
        <v>5985.8030455049229</v>
      </c>
      <c r="J163" s="263" t="s">
        <v>135</v>
      </c>
      <c r="K163" s="46">
        <f t="shared" si="6"/>
        <v>0</v>
      </c>
      <c r="L163" s="73"/>
    </row>
    <row r="164" spans="1:12" ht="13">
      <c r="B164" s="38" t="s">
        <v>503</v>
      </c>
      <c r="C164" s="67"/>
      <c r="D164" s="263" t="s">
        <v>135</v>
      </c>
      <c r="E164" s="74" t="s">
        <v>244</v>
      </c>
      <c r="F164" s="77" t="s">
        <v>217</v>
      </c>
      <c r="G164" s="39" cm="1">
        <f t="array" ref="G164">_xlfn.XLOOKUP(1,('Cost Schedule'!$B$222:$B$230=E164)*('Cost Schedule'!$A$222:$A$230=F164),'Cost Schedule'!$C$222:$C$230)</f>
        <v>5985.8030455049229</v>
      </c>
      <c r="H164" s="72"/>
      <c r="I164" s="40">
        <f t="shared" si="5"/>
        <v>5985.8030455049229</v>
      </c>
      <c r="J164" s="263" t="s">
        <v>135</v>
      </c>
      <c r="K164" s="46">
        <f t="shared" si="6"/>
        <v>0</v>
      </c>
      <c r="L164" s="73"/>
    </row>
    <row r="165" spans="1:12">
      <c r="C165" s="308"/>
      <c r="I165" s="278"/>
      <c r="L165" s="70"/>
    </row>
    <row r="166" spans="1:12" ht="13">
      <c r="B166" s="309" t="str">
        <f>B$22</f>
        <v>Totals</v>
      </c>
      <c r="C166" s="290">
        <f>SUM(C154:C165)</f>
        <v>0</v>
      </c>
      <c r="D166" s="263" t="s">
        <v>135</v>
      </c>
      <c r="H166" s="280" t="s">
        <v>255</v>
      </c>
      <c r="I166" s="51">
        <f>IF(C166=0,0,K166/C166)</f>
        <v>0</v>
      </c>
      <c r="J166" s="281" t="s">
        <v>324</v>
      </c>
      <c r="K166" s="44">
        <f>SUM(K154:K165)</f>
        <v>0</v>
      </c>
      <c r="L166" s="73"/>
    </row>
    <row r="167" spans="1:12">
      <c r="L167" s="70"/>
    </row>
    <row r="168" spans="1:12" ht="13">
      <c r="A168" s="244"/>
      <c r="B168" s="222" t="s">
        <v>256</v>
      </c>
      <c r="C168" s="222"/>
      <c r="D168" s="222"/>
      <c r="E168" s="222"/>
      <c r="F168" s="222"/>
      <c r="G168" s="222"/>
      <c r="H168" s="222"/>
      <c r="I168" s="222"/>
      <c r="J168" s="222"/>
      <c r="K168" s="222"/>
      <c r="L168" s="222"/>
    </row>
    <row r="169" spans="1:12" ht="18.75" customHeight="1">
      <c r="B169" s="272" t="s">
        <v>141</v>
      </c>
      <c r="C169" s="273" t="s">
        <v>142</v>
      </c>
      <c r="D169" s="273" t="s">
        <v>82</v>
      </c>
      <c r="E169" s="276" t="s">
        <v>152</v>
      </c>
      <c r="F169" s="276"/>
      <c r="G169" s="275" t="s">
        <v>81</v>
      </c>
      <c r="H169" s="275" t="s">
        <v>143</v>
      </c>
      <c r="I169" s="275" t="s">
        <v>144</v>
      </c>
      <c r="J169" s="275" t="s">
        <v>145</v>
      </c>
      <c r="K169" s="275" t="s">
        <v>146</v>
      </c>
      <c r="L169" s="70"/>
    </row>
    <row r="170" spans="1:12" ht="13">
      <c r="B170" s="38" t="s">
        <v>257</v>
      </c>
      <c r="C170" s="67"/>
      <c r="D170" s="263" t="s">
        <v>135</v>
      </c>
      <c r="E170" s="74" t="s">
        <v>258</v>
      </c>
      <c r="F170" s="77" t="s">
        <v>226</v>
      </c>
      <c r="G170" s="39" cm="1">
        <f t="array" ref="G170">_xlfn.XLOOKUP(1,('Cost Schedule'!$B$6:$B$14=E170)*('Cost Schedule'!$A$6:$A$14=F170),'Cost Schedule'!$C$6:$C$14)</f>
        <v>17563.468795765948</v>
      </c>
      <c r="H170" s="72"/>
      <c r="I170" s="40">
        <f>IF(H170="",G170,H170)</f>
        <v>17563.468795765948</v>
      </c>
      <c r="J170" s="263" t="s">
        <v>135</v>
      </c>
      <c r="K170" s="52">
        <f>I170*C170</f>
        <v>0</v>
      </c>
      <c r="L170" s="73"/>
    </row>
    <row r="171" spans="1:12" ht="13">
      <c r="B171" s="38" t="s">
        <v>259</v>
      </c>
      <c r="C171" s="67"/>
      <c r="D171" s="263" t="s">
        <v>135</v>
      </c>
      <c r="E171" s="74" t="s">
        <v>260</v>
      </c>
      <c r="F171" s="77" t="s">
        <v>217</v>
      </c>
      <c r="G171" s="39" cm="1">
        <f t="array" ref="G171">_xlfn.XLOOKUP(1,('Cost Schedule'!$B$6:$B$14=E171)*('Cost Schedule'!$A$6:$A$14=F171),'Cost Schedule'!$C$6:$C$14)</f>
        <v>14555.026555463435</v>
      </c>
      <c r="H171" s="72"/>
      <c r="I171" s="40">
        <f>IF(H171="",G171,H171)</f>
        <v>14555.026555463435</v>
      </c>
      <c r="J171" s="263" t="s">
        <v>135</v>
      </c>
      <c r="K171" s="52">
        <f>I171*C171</f>
        <v>0</v>
      </c>
      <c r="L171" s="73"/>
    </row>
    <row r="172" spans="1:12">
      <c r="C172" s="308"/>
      <c r="L172" s="73"/>
    </row>
    <row r="173" spans="1:12" ht="13">
      <c r="B173" s="309" t="str">
        <f>B$22</f>
        <v>Totals</v>
      </c>
      <c r="C173" s="290">
        <f>SUM(C169:C172)</f>
        <v>0</v>
      </c>
      <c r="D173" s="263" t="s">
        <v>135</v>
      </c>
      <c r="H173" s="280" t="s">
        <v>261</v>
      </c>
      <c r="I173" s="51">
        <f>IF(C173=0,0,K173/C173)</f>
        <v>0</v>
      </c>
      <c r="J173" s="281" t="s">
        <v>324</v>
      </c>
      <c r="K173" s="44">
        <f>SUM(K169:K172)</f>
        <v>0</v>
      </c>
      <c r="L173" s="73"/>
    </row>
    <row r="174" spans="1:12">
      <c r="L174" s="70"/>
    </row>
    <row r="175" spans="1:12" ht="13">
      <c r="A175" s="244"/>
      <c r="B175" s="222" t="s">
        <v>262</v>
      </c>
      <c r="C175" s="222"/>
      <c r="D175" s="222"/>
      <c r="E175" s="222"/>
      <c r="F175" s="222"/>
      <c r="G175" s="222"/>
      <c r="H175" s="222"/>
      <c r="I175" s="222"/>
      <c r="J175" s="222"/>
      <c r="K175" s="222"/>
      <c r="L175" s="222"/>
    </row>
    <row r="176" spans="1:12" ht="17.25" customHeight="1">
      <c r="B176" s="272" t="s">
        <v>141</v>
      </c>
      <c r="C176" s="273" t="s">
        <v>142</v>
      </c>
      <c r="D176" s="273" t="s">
        <v>82</v>
      </c>
      <c r="E176" s="276" t="s">
        <v>152</v>
      </c>
      <c r="F176" s="276"/>
      <c r="G176" s="275" t="s">
        <v>81</v>
      </c>
      <c r="H176" s="275" t="s">
        <v>143</v>
      </c>
      <c r="I176" s="275" t="s">
        <v>144</v>
      </c>
      <c r="J176" s="275" t="s">
        <v>145</v>
      </c>
      <c r="K176" s="275" t="s">
        <v>146</v>
      </c>
      <c r="L176" s="92" t="s">
        <v>263</v>
      </c>
    </row>
    <row r="177" spans="1:12" ht="15" customHeight="1">
      <c r="B177" s="38" t="s">
        <v>264</v>
      </c>
      <c r="C177" s="67"/>
      <c r="D177" s="263" t="str">
        <f>_xlfn.XLOOKUP($E177,'Cost Schedule'!$B$30:$B$34,'Cost Schedule'!$D$30:$D$34)</f>
        <v>m2</v>
      </c>
      <c r="E177" s="74" t="s">
        <v>265</v>
      </c>
      <c r="F177" s="276"/>
      <c r="G177" s="39">
        <f>_xlfn.XLOOKUP($E177,'Cost Schedule'!$B$30:$B$34,'Cost Schedule'!$C$30:$C$34)</f>
        <v>130.34119174820927</v>
      </c>
      <c r="H177" s="72"/>
      <c r="I177" s="40">
        <f>IF(H177="",G177,H177)</f>
        <v>130.34119174820927</v>
      </c>
      <c r="J177" s="263" t="str">
        <f>D177</f>
        <v>m2</v>
      </c>
      <c r="K177" s="46">
        <f>I177*C177</f>
        <v>0</v>
      </c>
      <c r="L177" s="73"/>
    </row>
    <row r="178" spans="1:12" ht="15" customHeight="1">
      <c r="B178" s="38" t="s">
        <v>266</v>
      </c>
      <c r="C178" s="67"/>
      <c r="D178" s="263" t="str">
        <f>_xlfn.XLOOKUP($E178,'Cost Schedule'!$B$30:$B$34,'Cost Schedule'!$D$30:$D$34)</f>
        <v>m2</v>
      </c>
      <c r="E178" s="74" t="s">
        <v>267</v>
      </c>
      <c r="F178" s="276"/>
      <c r="G178" s="39">
        <f>_xlfn.XLOOKUP($E178,'Cost Schedule'!$B$30:$B$34,'Cost Schedule'!$C$30:$C$34)</f>
        <v>65.831315749844336</v>
      </c>
      <c r="H178" s="72"/>
      <c r="I178" s="40">
        <f>IF(H178="",G178,H178)</f>
        <v>65.831315749844336</v>
      </c>
      <c r="J178" s="263" t="str">
        <f t="shared" ref="J178:J181" si="7">D178</f>
        <v>m2</v>
      </c>
      <c r="K178" s="46">
        <f>I178*C178</f>
        <v>0</v>
      </c>
      <c r="L178" s="70"/>
    </row>
    <row r="179" spans="1:12" ht="15" customHeight="1">
      <c r="B179" s="38" t="s">
        <v>268</v>
      </c>
      <c r="C179" s="67"/>
      <c r="D179" s="263" t="str">
        <f>_xlfn.XLOOKUP($E179,'Cost Schedule'!$B$30:$B$34,'Cost Schedule'!$D$30:$D$34)</f>
        <v>m2</v>
      </c>
      <c r="E179" s="74" t="s">
        <v>269</v>
      </c>
      <c r="F179" s="276"/>
      <c r="G179" s="39">
        <f>_xlfn.XLOOKUP($E179,'Cost Schedule'!$B$30:$B$34,'Cost Schedule'!$C$30:$C$34)</f>
        <v>57.775533127992965</v>
      </c>
      <c r="H179" s="72"/>
      <c r="I179" s="40">
        <f>IF(H179="",G179,H179)</f>
        <v>57.775533127992965</v>
      </c>
      <c r="J179" s="263" t="str">
        <f t="shared" si="7"/>
        <v>m2</v>
      </c>
      <c r="K179" s="46">
        <f>I179*C179</f>
        <v>0</v>
      </c>
      <c r="L179" s="73"/>
    </row>
    <row r="180" spans="1:12" ht="15" customHeight="1">
      <c r="B180" s="38" t="s">
        <v>270</v>
      </c>
      <c r="C180" s="67"/>
      <c r="D180" s="263" t="str">
        <f>_xlfn.XLOOKUP($E180,'Cost Schedule'!$B$30:$B$34,'Cost Schedule'!$D$30:$D$34)</f>
        <v>m2</v>
      </c>
      <c r="E180" s="74" t="s">
        <v>271</v>
      </c>
      <c r="F180" s="276"/>
      <c r="G180" s="39">
        <f>_xlfn.XLOOKUP($E180,'Cost Schedule'!$B$30:$B$34,'Cost Schedule'!$C$30:$C$34)</f>
        <v>182.24173485583563</v>
      </c>
      <c r="H180" s="72"/>
      <c r="I180" s="40">
        <f>IF(H180="",G180,H180)</f>
        <v>182.24173485583563</v>
      </c>
      <c r="J180" s="263" t="str">
        <f t="shared" si="7"/>
        <v>m2</v>
      </c>
      <c r="K180" s="46">
        <f>I180*C180</f>
        <v>0</v>
      </c>
      <c r="L180" s="70"/>
    </row>
    <row r="181" spans="1:12" ht="15" customHeight="1">
      <c r="B181" s="38" t="s">
        <v>272</v>
      </c>
      <c r="C181" s="67"/>
      <c r="D181" s="263" t="str">
        <f>_xlfn.XLOOKUP($E181,'Cost Schedule'!$B$30:$B$34,'Cost Schedule'!$D$30:$D$34)</f>
        <v>m2-floor</v>
      </c>
      <c r="E181" s="74" t="s">
        <v>273</v>
      </c>
      <c r="F181" s="276"/>
      <c r="G181" s="39">
        <f>_xlfn.XLOOKUP($E181,'Cost Schedule'!$B$30:$B$34,'Cost Schedule'!$C$30:$C$34)</f>
        <v>57.05767457349878</v>
      </c>
      <c r="H181" s="72"/>
      <c r="I181" s="40">
        <f>IF(H181="",G181,H181)</f>
        <v>57.05767457349878</v>
      </c>
      <c r="J181" s="263" t="str">
        <f t="shared" si="7"/>
        <v>m2-floor</v>
      </c>
      <c r="K181" s="46">
        <f>I181*C181</f>
        <v>0</v>
      </c>
      <c r="L181" s="73"/>
    </row>
    <row r="182" spans="1:12" ht="13">
      <c r="C182" s="308"/>
      <c r="F182" s="276"/>
      <c r="L182" s="70"/>
    </row>
    <row r="183" spans="1:12" ht="13">
      <c r="B183" s="309" t="str">
        <f>B$22</f>
        <v>Totals</v>
      </c>
      <c r="C183" s="290">
        <f>SUM(C176:C182)</f>
        <v>0</v>
      </c>
      <c r="D183" s="263" t="s">
        <v>274</v>
      </c>
      <c r="H183" s="280" t="s">
        <v>275</v>
      </c>
      <c r="I183" s="51">
        <f>IF(C183=0,0,K183/C183)</f>
        <v>0</v>
      </c>
      <c r="J183" s="281" t="s">
        <v>504</v>
      </c>
      <c r="K183" s="44">
        <f>SUM(K176:K182)</f>
        <v>0</v>
      </c>
      <c r="L183" s="73"/>
    </row>
    <row r="184" spans="1:12">
      <c r="L184" s="70"/>
    </row>
    <row r="185" spans="1:12" ht="13">
      <c r="A185" s="244"/>
      <c r="B185" s="222" t="s">
        <v>277</v>
      </c>
      <c r="C185" s="222"/>
      <c r="D185" s="222"/>
      <c r="E185" s="222"/>
      <c r="F185" s="222"/>
      <c r="G185" s="222"/>
      <c r="H185" s="222"/>
      <c r="I185" s="222"/>
      <c r="J185" s="222"/>
      <c r="K185" s="222"/>
      <c r="L185" s="222"/>
    </row>
    <row r="186" spans="1:12" ht="18" customHeight="1">
      <c r="B186" s="272" t="s">
        <v>141</v>
      </c>
      <c r="C186" s="273" t="s">
        <v>142</v>
      </c>
      <c r="D186" s="273" t="s">
        <v>82</v>
      </c>
      <c r="E186" s="276" t="s">
        <v>152</v>
      </c>
      <c r="F186" s="276"/>
      <c r="G186" s="275" t="s">
        <v>81</v>
      </c>
      <c r="H186" s="275" t="s">
        <v>143</v>
      </c>
      <c r="I186" s="275" t="s">
        <v>144</v>
      </c>
      <c r="J186" s="275" t="s">
        <v>145</v>
      </c>
      <c r="K186" s="275" t="s">
        <v>146</v>
      </c>
      <c r="L186" s="70"/>
    </row>
    <row r="187" spans="1:12" ht="15" customHeight="1">
      <c r="B187" s="38" t="s">
        <v>278</v>
      </c>
      <c r="C187" s="71"/>
      <c r="D187" s="263" t="str">
        <f>_xlfn.XLOOKUP($E187,'Cost Schedule'!$B$37:$B$40,'Cost Schedule'!$D$37:$D$40)</f>
        <v>building</v>
      </c>
      <c r="E187" s="78" t="s">
        <v>279</v>
      </c>
      <c r="F187" s="276"/>
      <c r="G187" s="39">
        <f>_xlfn.XLOOKUP(E187,'Cost Schedule'!$B$37:$B$40,'Cost Schedule'!$C$37:$C$40)</f>
        <v>1883.512891943768</v>
      </c>
      <c r="H187" s="72"/>
      <c r="I187" s="40">
        <f>IF(H187="",G187,H187)</f>
        <v>1883.512891943768</v>
      </c>
      <c r="J187" s="263" t="str">
        <f>D187</f>
        <v>building</v>
      </c>
      <c r="K187" s="46">
        <f>I187*C187</f>
        <v>0</v>
      </c>
      <c r="L187" s="73"/>
    </row>
    <row r="188" spans="1:12" ht="14.25" customHeight="1">
      <c r="B188" s="38" t="s">
        <v>280</v>
      </c>
      <c r="C188" s="71"/>
      <c r="D188" s="263" t="str">
        <f>_xlfn.XLOOKUP($E188,'Cost Schedule'!$B$37:$B$40,'Cost Schedule'!$D$37:$D$40)</f>
        <v>building</v>
      </c>
      <c r="E188" s="78" t="s">
        <v>281</v>
      </c>
      <c r="F188" s="276"/>
      <c r="G188" s="39">
        <f>_xlfn.XLOOKUP(E188,'Cost Schedule'!$B$37:$B$40,'Cost Schedule'!$C$37:$C$40)</f>
        <v>1243.9588072170536</v>
      </c>
      <c r="H188" s="72"/>
      <c r="I188" s="40">
        <f>IF(H188="",G188,H188)</f>
        <v>1243.9588072170536</v>
      </c>
      <c r="J188" s="263" t="str">
        <f t="shared" ref="J188:J191" si="8">D188</f>
        <v>building</v>
      </c>
      <c r="K188" s="46">
        <f>I188*C188</f>
        <v>0</v>
      </c>
      <c r="L188" s="70"/>
    </row>
    <row r="189" spans="1:12" ht="16" customHeight="1">
      <c r="B189" s="38" t="s">
        <v>282</v>
      </c>
      <c r="C189" s="71"/>
      <c r="D189" s="263" t="str">
        <f>_xlfn.XLOOKUP($E189,'Cost Schedule'!$B$37:$B$40,'Cost Schedule'!$D$37:$D$40)</f>
        <v>building</v>
      </c>
      <c r="E189" s="78" t="s">
        <v>283</v>
      </c>
      <c r="F189" s="276"/>
      <c r="G189" s="39">
        <f>_xlfn.XLOOKUP(E189,'Cost Schedule'!$B$37:$B$40,'Cost Schedule'!$C$37:$C$40)</f>
        <v>10251.77359535745</v>
      </c>
      <c r="H189" s="72"/>
      <c r="I189" s="40">
        <f>IF(H189="",G189,H189)</f>
        <v>10251.77359535745</v>
      </c>
      <c r="J189" s="263" t="str">
        <f t="shared" si="8"/>
        <v>building</v>
      </c>
      <c r="K189" s="46">
        <f>I189*C189</f>
        <v>0</v>
      </c>
      <c r="L189" s="73"/>
    </row>
    <row r="190" spans="1:12" ht="15" customHeight="1">
      <c r="B190" s="38" t="s">
        <v>284</v>
      </c>
      <c r="C190" s="71"/>
      <c r="D190" s="263" t="str">
        <f>_xlfn.XLOOKUP($E190,'Cost Schedule'!$B$37:$B$40,'Cost Schedule'!$D$37:$D$40)</f>
        <v>building</v>
      </c>
      <c r="E190" s="78" t="s">
        <v>285</v>
      </c>
      <c r="F190" s="276"/>
      <c r="G190" s="39">
        <f>_xlfn.XLOOKUP(E190,'Cost Schedule'!$B$37:$B$40,'Cost Schedule'!$C$37:$C$40)</f>
        <v>7015.0882772529176</v>
      </c>
      <c r="H190" s="72"/>
      <c r="I190" s="40">
        <f>IF(H190="",G190,H190)</f>
        <v>7015.0882772529176</v>
      </c>
      <c r="J190" s="263" t="str">
        <f t="shared" si="8"/>
        <v>building</v>
      </c>
      <c r="K190" s="46">
        <f>I190*C190</f>
        <v>0</v>
      </c>
      <c r="L190" s="70"/>
    </row>
    <row r="191" spans="1:12" ht="15" customHeight="1">
      <c r="B191" s="38" t="s">
        <v>286</v>
      </c>
      <c r="C191" s="71"/>
      <c r="D191" s="263" t="str">
        <f>_xlfn.XLOOKUP($E191,'Cost Schedule'!$B$37:$B$40,'Cost Schedule'!$D$37:$D$40)</f>
        <v>building</v>
      </c>
      <c r="E191" s="78" t="s">
        <v>279</v>
      </c>
      <c r="F191" s="276"/>
      <c r="G191" s="39">
        <f>_xlfn.XLOOKUP(E191,'Cost Schedule'!$B$37:$B$40,'Cost Schedule'!$C$37:$C$40)</f>
        <v>1883.512891943768</v>
      </c>
      <c r="H191" s="72"/>
      <c r="I191" s="40">
        <f>IF(H191="",G191,H191)</f>
        <v>1883.512891943768</v>
      </c>
      <c r="J191" s="263" t="str">
        <f t="shared" si="8"/>
        <v>building</v>
      </c>
      <c r="K191" s="52">
        <f>I191*C191</f>
        <v>0</v>
      </c>
      <c r="L191" s="73"/>
    </row>
    <row r="192" spans="1:12" ht="13">
      <c r="C192" s="310"/>
      <c r="F192" s="276"/>
      <c r="L192" s="70"/>
    </row>
    <row r="193" spans="1:12" ht="13">
      <c r="B193" s="309" t="str">
        <f>B$22</f>
        <v>Totals</v>
      </c>
      <c r="C193" s="283">
        <f>SUM(C186:C192)</f>
        <v>0</v>
      </c>
      <c r="D193" s="263" t="s">
        <v>287</v>
      </c>
      <c r="H193" s="280" t="s">
        <v>275</v>
      </c>
      <c r="I193" s="51">
        <f>IF(C193=0,0,K193/C193)</f>
        <v>0</v>
      </c>
      <c r="J193" s="281" t="s">
        <v>288</v>
      </c>
      <c r="K193" s="44">
        <f>SUM(K186:K192)</f>
        <v>0</v>
      </c>
      <c r="L193" s="73"/>
    </row>
    <row r="194" spans="1:12">
      <c r="L194" s="70"/>
    </row>
    <row r="195" spans="1:12" ht="13">
      <c r="A195" s="244"/>
      <c r="B195" s="222" t="s">
        <v>289</v>
      </c>
      <c r="C195" s="222"/>
      <c r="D195" s="222"/>
      <c r="E195" s="222"/>
      <c r="F195" s="222"/>
      <c r="G195" s="222"/>
      <c r="H195" s="222"/>
      <c r="I195" s="222"/>
      <c r="J195" s="222"/>
      <c r="K195" s="222"/>
      <c r="L195" s="222"/>
    </row>
    <row r="196" spans="1:12" ht="22.5" customHeight="1">
      <c r="B196" s="302" t="s">
        <v>141</v>
      </c>
      <c r="C196" s="303" t="s">
        <v>142</v>
      </c>
      <c r="D196" s="303" t="s">
        <v>82</v>
      </c>
      <c r="E196" s="303" t="s">
        <v>152</v>
      </c>
      <c r="F196" s="303"/>
      <c r="G196" s="304" t="s">
        <v>81</v>
      </c>
      <c r="H196" s="304" t="s">
        <v>143</v>
      </c>
      <c r="I196" s="304" t="s">
        <v>144</v>
      </c>
      <c r="J196" s="304" t="s">
        <v>145</v>
      </c>
      <c r="K196" s="304" t="s">
        <v>146</v>
      </c>
      <c r="L196" s="82"/>
    </row>
    <row r="197" spans="1:12">
      <c r="B197" s="38" t="s">
        <v>290</v>
      </c>
      <c r="C197" s="67"/>
      <c r="D197" s="263" t="s">
        <v>135</v>
      </c>
      <c r="L197" s="82"/>
    </row>
    <row r="198" spans="1:12">
      <c r="B198" s="38" t="s">
        <v>291</v>
      </c>
      <c r="C198" s="67"/>
      <c r="D198" s="263" t="s">
        <v>135</v>
      </c>
      <c r="L198" s="82"/>
    </row>
    <row r="199" spans="1:12">
      <c r="B199" s="38" t="s">
        <v>292</v>
      </c>
      <c r="C199" s="67"/>
      <c r="D199" s="263" t="s">
        <v>135</v>
      </c>
      <c r="L199" s="82"/>
    </row>
    <row r="200" spans="1:12">
      <c r="B200" s="38" t="s">
        <v>293</v>
      </c>
      <c r="C200" s="67"/>
      <c r="D200" s="263" t="s">
        <v>135</v>
      </c>
      <c r="L200" s="82"/>
    </row>
    <row r="201" spans="1:12">
      <c r="B201" s="38" t="s">
        <v>294</v>
      </c>
      <c r="C201" s="67"/>
      <c r="D201" s="263" t="s">
        <v>135</v>
      </c>
      <c r="L201" s="82"/>
    </row>
    <row r="202" spans="1:12" ht="13">
      <c r="B202" s="38" t="s">
        <v>295</v>
      </c>
      <c r="C202" s="331">
        <f>SUM(C197:C201)</f>
        <v>0</v>
      </c>
      <c r="D202" s="263" t="s">
        <v>135</v>
      </c>
      <c r="L202" s="82"/>
    </row>
    <row r="203" spans="1:12">
      <c r="B203" s="15" t="s">
        <v>296</v>
      </c>
      <c r="C203" s="79">
        <v>1</v>
      </c>
      <c r="L203" s="82"/>
    </row>
    <row r="204" spans="1:12" ht="13">
      <c r="B204" s="38" t="s">
        <v>297</v>
      </c>
      <c r="C204" s="331">
        <f>C202*C203</f>
        <v>0</v>
      </c>
      <c r="D204" s="263" t="s">
        <v>135</v>
      </c>
      <c r="L204" s="82"/>
    </row>
    <row r="205" spans="1:12">
      <c r="B205" s="15" t="s">
        <v>298</v>
      </c>
      <c r="C205" s="332">
        <v>0.15</v>
      </c>
      <c r="D205" s="263" t="s">
        <v>299</v>
      </c>
      <c r="L205" s="82"/>
    </row>
    <row r="206" spans="1:12">
      <c r="B206" s="15" t="s">
        <v>300</v>
      </c>
      <c r="C206" s="75"/>
      <c r="D206" s="263" t="s">
        <v>299</v>
      </c>
      <c r="L206" s="82"/>
    </row>
    <row r="207" spans="1:12">
      <c r="B207" s="15" t="s">
        <v>301</v>
      </c>
      <c r="C207" s="298">
        <f>C204*Square_metres_in_hectare*IF(C206=0,C205,C206)</f>
        <v>0</v>
      </c>
      <c r="D207" s="263" t="s">
        <v>302</v>
      </c>
      <c r="L207" s="82"/>
    </row>
    <row r="208" spans="1:12">
      <c r="B208" s="15" t="s">
        <v>303</v>
      </c>
      <c r="C208" s="79">
        <v>0</v>
      </c>
      <c r="L208" s="82"/>
    </row>
    <row r="209" spans="1:12" ht="13">
      <c r="B209" s="15" t="s">
        <v>305</v>
      </c>
      <c r="C209" s="298">
        <f>C207*C208</f>
        <v>0</v>
      </c>
      <c r="D209" s="263" t="s">
        <v>302</v>
      </c>
      <c r="E209" s="77" t="s">
        <v>505</v>
      </c>
      <c r="G209" s="48">
        <f>_xlfn.XLOOKUP(E209,Load_haul_dump_growth_media_onsite_names_UR,Load_haul_dump_growth_media_onsite_rates_UR)</f>
        <v>10.098499523259912</v>
      </c>
      <c r="H209" s="72"/>
      <c r="I209" s="49">
        <f>IF(H209="",G209,H209)</f>
        <v>10.098499523259912</v>
      </c>
      <c r="J209" s="263" t="str">
        <f>D209</f>
        <v>m3</v>
      </c>
      <c r="K209" s="46">
        <f>I209*C209</f>
        <v>0</v>
      </c>
      <c r="L209" s="82"/>
    </row>
    <row r="210" spans="1:12" ht="13">
      <c r="B210" s="15" t="s">
        <v>307</v>
      </c>
      <c r="C210" s="298">
        <f>C207-C209</f>
        <v>0</v>
      </c>
      <c r="D210" s="263" t="s">
        <v>302</v>
      </c>
      <c r="G210" s="48">
        <f>Top_soil_rate</f>
        <v>165</v>
      </c>
      <c r="H210" s="72"/>
      <c r="I210" s="49">
        <f>IF(H210="",G210,H210)</f>
        <v>165</v>
      </c>
      <c r="J210" s="263" t="str">
        <f t="shared" ref="J210:J211" si="9">D210</f>
        <v>m3</v>
      </c>
      <c r="K210" s="46">
        <f>I210*C210</f>
        <v>0</v>
      </c>
      <c r="L210" s="82"/>
    </row>
    <row r="211" spans="1:12" ht="13">
      <c r="B211" s="15" t="s">
        <v>308</v>
      </c>
      <c r="C211" s="290">
        <f>C210*_xlfn.XLOOKUP(E211,Load_haul_dump_soil_ameliorants_from_off_site_names_UR,Load_haul_dump_growth_media_distance_avg)</f>
        <v>0</v>
      </c>
      <c r="D211" s="263" t="s">
        <v>309</v>
      </c>
      <c r="E211" s="77" t="s">
        <v>310</v>
      </c>
      <c r="G211" s="48">
        <f>_xlfn.XLOOKUP(E211,Load_haul_dump_soil_ameliorants_from_off_site_names_UR,Load_haul_dump_soil_ameliorants_from_off_site_rates_UR)</f>
        <v>0.42336494510658307</v>
      </c>
      <c r="H211" s="72"/>
      <c r="I211" s="49">
        <f>IF(H211="",G211,H211)</f>
        <v>0.42336494510658307</v>
      </c>
      <c r="J211" s="263" t="str">
        <f t="shared" si="9"/>
        <v>m3-km</v>
      </c>
      <c r="K211" s="46">
        <f>I211*C211</f>
        <v>0</v>
      </c>
      <c r="L211" s="82"/>
    </row>
    <row r="212" spans="1:12">
      <c r="C212" s="308"/>
      <c r="L212" s="82"/>
    </row>
    <row r="213" spans="1:12" ht="13">
      <c r="B213" s="309" t="str">
        <f>B$22</f>
        <v>Totals</v>
      </c>
      <c r="C213" s="290">
        <f>C204</f>
        <v>0</v>
      </c>
      <c r="D213" s="263" t="s">
        <v>135</v>
      </c>
      <c r="H213" s="280" t="s">
        <v>311</v>
      </c>
      <c r="I213" s="51">
        <f>IF(C213=0,0,K213/C213)</f>
        <v>0</v>
      </c>
      <c r="J213" s="281" t="s">
        <v>135</v>
      </c>
      <c r="K213" s="44">
        <f>SUM(K209:K211)</f>
        <v>0</v>
      </c>
      <c r="L213" s="82"/>
    </row>
    <row r="214" spans="1:12">
      <c r="L214" s="82"/>
    </row>
    <row r="215" spans="1:12" ht="13">
      <c r="A215" s="244"/>
      <c r="B215" s="222" t="s">
        <v>312</v>
      </c>
      <c r="C215" s="222"/>
      <c r="D215" s="222"/>
      <c r="E215" s="222"/>
      <c r="F215" s="222"/>
      <c r="G215" s="222"/>
      <c r="H215" s="222"/>
      <c r="I215" s="222"/>
      <c r="J215" s="222"/>
      <c r="K215" s="222"/>
      <c r="L215" s="222"/>
    </row>
    <row r="216" spans="1:12" ht="21.75" customHeight="1">
      <c r="B216" s="272" t="s">
        <v>141</v>
      </c>
      <c r="C216" s="273" t="s">
        <v>142</v>
      </c>
      <c r="D216" s="273" t="s">
        <v>82</v>
      </c>
      <c r="E216" s="276" t="s">
        <v>152</v>
      </c>
      <c r="F216" s="276"/>
      <c r="G216" s="275" t="s">
        <v>81</v>
      </c>
      <c r="H216" s="275" t="s">
        <v>143</v>
      </c>
      <c r="I216" s="275" t="s">
        <v>144</v>
      </c>
      <c r="J216" s="275" t="s">
        <v>145</v>
      </c>
      <c r="K216" s="275" t="s">
        <v>146</v>
      </c>
      <c r="L216" s="82"/>
    </row>
    <row r="217" spans="1:12">
      <c r="B217" s="38" t="s">
        <v>290</v>
      </c>
      <c r="C217" s="67"/>
      <c r="D217" s="244" t="s">
        <v>135</v>
      </c>
      <c r="L217" s="82"/>
    </row>
    <row r="218" spans="1:12">
      <c r="B218" s="38" t="s">
        <v>291</v>
      </c>
      <c r="C218" s="67"/>
      <c r="D218" s="263" t="s">
        <v>135</v>
      </c>
      <c r="L218" s="82"/>
    </row>
    <row r="219" spans="1:12">
      <c r="B219" s="38" t="s">
        <v>292</v>
      </c>
      <c r="C219" s="67"/>
      <c r="D219" s="263" t="s">
        <v>135</v>
      </c>
      <c r="L219" s="82"/>
    </row>
    <row r="220" spans="1:12">
      <c r="B220" s="38" t="s">
        <v>293</v>
      </c>
      <c r="C220" s="67"/>
      <c r="D220" s="263" t="s">
        <v>135</v>
      </c>
      <c r="L220" s="82"/>
    </row>
    <row r="221" spans="1:12">
      <c r="B221" s="38" t="s">
        <v>294</v>
      </c>
      <c r="C221" s="67"/>
      <c r="D221" s="263" t="s">
        <v>135</v>
      </c>
      <c r="L221" s="82"/>
    </row>
    <row r="222" spans="1:12" ht="13">
      <c r="B222" s="38" t="s">
        <v>295</v>
      </c>
      <c r="C222" s="331">
        <f>SUM(C217:C221)</f>
        <v>0</v>
      </c>
      <c r="D222" s="263" t="s">
        <v>135</v>
      </c>
      <c r="L222" s="82"/>
    </row>
    <row r="223" spans="1:12" ht="13">
      <c r="B223" s="15" t="s">
        <v>313</v>
      </c>
      <c r="C223" s="79">
        <v>1</v>
      </c>
      <c r="D223" s="273"/>
      <c r="L223" s="82"/>
    </row>
    <row r="224" spans="1:12" ht="13">
      <c r="B224" s="15" t="s">
        <v>314</v>
      </c>
      <c r="C224" s="331">
        <f>C222*C223</f>
        <v>0</v>
      </c>
      <c r="D224" s="263" t="s">
        <v>135</v>
      </c>
      <c r="L224" s="82"/>
    </row>
    <row r="225" spans="1:12">
      <c r="B225" s="15" t="s">
        <v>315</v>
      </c>
      <c r="C225" s="298">
        <f>_xlfn.XLOOKUP(E226,Ameliorants_soil_names_As,Ameliorants_app_rate)</f>
        <v>2.5</v>
      </c>
      <c r="D225" s="263" t="s">
        <v>316</v>
      </c>
      <c r="L225" s="82"/>
    </row>
    <row r="226" spans="1:12" ht="13">
      <c r="B226" s="15" t="s">
        <v>317</v>
      </c>
      <c r="C226" s="298">
        <f>C224*C225</f>
        <v>0</v>
      </c>
      <c r="D226" s="263" t="s">
        <v>318</v>
      </c>
      <c r="E226" s="77" t="s">
        <v>319</v>
      </c>
      <c r="G226" s="48">
        <f>_xlfn.XLOOKUP(E226,Ameliorants_names,Ameliorants_rates)</f>
        <v>115.5</v>
      </c>
      <c r="H226" s="72"/>
      <c r="I226" s="49">
        <f>IF(H226="",G226,H226)</f>
        <v>115.5</v>
      </c>
      <c r="J226" s="263" t="str">
        <f t="shared" ref="J226:J228" si="10">D226</f>
        <v>t</v>
      </c>
      <c r="K226" s="46">
        <f>I226*C226</f>
        <v>0</v>
      </c>
      <c r="L226" s="82"/>
    </row>
    <row r="227" spans="1:12" ht="13">
      <c r="B227" s="15" t="s">
        <v>320</v>
      </c>
      <c r="C227" s="290">
        <f>C226/Soil_density*_xlfn.XLOOKUP(E227,Load_haul_dump_soil_ameliorants_from_off_site_names_UR,Load_haul_dump_growth_media_distance_avg)</f>
        <v>0</v>
      </c>
      <c r="D227" s="244" t="s">
        <v>309</v>
      </c>
      <c r="E227" s="77" t="s">
        <v>321</v>
      </c>
      <c r="G227" s="48">
        <f>_xlfn.XLOOKUP(E227,Load_haul_dump_soil_ameliorants_from_off_site_names_UR,Load_haul_dump_soil_ameliorants_from_off_site_rates_UR)</f>
        <v>0.26562499999999994</v>
      </c>
      <c r="H227" s="72"/>
      <c r="I227" s="49">
        <f>IF(H227="",G227,H227)</f>
        <v>0.26562499999999994</v>
      </c>
      <c r="J227" s="263" t="str">
        <f t="shared" si="10"/>
        <v>m3-km</v>
      </c>
      <c r="K227" s="46">
        <f>I227*C227</f>
        <v>0</v>
      </c>
      <c r="L227" s="82"/>
    </row>
    <row r="228" spans="1:12" ht="13">
      <c r="B228" s="15" t="s">
        <v>506</v>
      </c>
      <c r="C228" s="298">
        <f>C224</f>
        <v>0</v>
      </c>
      <c r="D228" s="263" t="s">
        <v>135</v>
      </c>
      <c r="G228" s="48">
        <f>Spread_ameliorants_rate</f>
        <v>2494.1763427996943</v>
      </c>
      <c r="H228" s="72"/>
      <c r="I228" s="49">
        <f>IF(H228="",G228,H228)</f>
        <v>2494.1763427996943</v>
      </c>
      <c r="J228" s="263" t="str">
        <f t="shared" si="10"/>
        <v>ha</v>
      </c>
      <c r="K228" s="46">
        <f>I228*C228</f>
        <v>0</v>
      </c>
      <c r="L228" s="82"/>
    </row>
    <row r="229" spans="1:12">
      <c r="C229" s="308"/>
      <c r="I229" s="244"/>
      <c r="K229" s="244"/>
      <c r="L229" s="82"/>
    </row>
    <row r="230" spans="1:12" ht="13">
      <c r="B230" s="309" t="str">
        <f>B$22</f>
        <v>Totals</v>
      </c>
      <c r="C230" s="290">
        <f>C224</f>
        <v>0</v>
      </c>
      <c r="D230" s="263" t="s">
        <v>135</v>
      </c>
      <c r="H230" s="280" t="s">
        <v>507</v>
      </c>
      <c r="I230" s="51">
        <f>IF(C230=0,0,K230/C230)</f>
        <v>0</v>
      </c>
      <c r="J230" s="281" t="s">
        <v>324</v>
      </c>
      <c r="K230" s="36">
        <f>SUM(K226:K228)</f>
        <v>0</v>
      </c>
      <c r="L230" s="82"/>
    </row>
    <row r="231" spans="1:12">
      <c r="L231" s="82"/>
    </row>
    <row r="232" spans="1:12" ht="13">
      <c r="A232" s="244"/>
      <c r="B232" s="222" t="s">
        <v>325</v>
      </c>
      <c r="C232" s="222"/>
      <c r="D232" s="222"/>
      <c r="E232" s="222"/>
      <c r="F232" s="222"/>
      <c r="G232" s="222"/>
      <c r="H232" s="222"/>
      <c r="I232" s="222"/>
      <c r="J232" s="222"/>
      <c r="K232" s="222"/>
      <c r="L232" s="222"/>
    </row>
    <row r="233" spans="1:12" ht="21.65" customHeight="1">
      <c r="B233" s="272" t="s">
        <v>141</v>
      </c>
      <c r="C233" s="273" t="s">
        <v>142</v>
      </c>
      <c r="D233" s="273" t="s">
        <v>82</v>
      </c>
      <c r="E233" s="276" t="s">
        <v>152</v>
      </c>
      <c r="F233" s="276"/>
      <c r="G233" s="275" t="s">
        <v>81</v>
      </c>
      <c r="H233" s="275" t="s">
        <v>143</v>
      </c>
      <c r="I233" s="275" t="s">
        <v>144</v>
      </c>
      <c r="J233" s="275" t="s">
        <v>145</v>
      </c>
      <c r="K233" s="275" t="s">
        <v>146</v>
      </c>
      <c r="L233" s="82"/>
    </row>
    <row r="234" spans="1:12">
      <c r="B234" s="15" t="s">
        <v>290</v>
      </c>
      <c r="C234" s="67"/>
      <c r="D234" s="263" t="s">
        <v>135</v>
      </c>
      <c r="L234" s="82"/>
    </row>
    <row r="235" spans="1:12">
      <c r="B235" s="38" t="s">
        <v>291</v>
      </c>
      <c r="C235" s="67"/>
      <c r="D235" s="263" t="s">
        <v>135</v>
      </c>
      <c r="L235" s="82"/>
    </row>
    <row r="236" spans="1:12">
      <c r="B236" s="38" t="s">
        <v>292</v>
      </c>
      <c r="C236" s="67"/>
      <c r="D236" s="263" t="s">
        <v>135</v>
      </c>
      <c r="L236" s="82"/>
    </row>
    <row r="237" spans="1:12">
      <c r="B237" s="38" t="s">
        <v>293</v>
      </c>
      <c r="C237" s="67"/>
      <c r="D237" s="263" t="s">
        <v>135</v>
      </c>
      <c r="L237" s="82"/>
    </row>
    <row r="238" spans="1:12">
      <c r="B238" s="38" t="s">
        <v>294</v>
      </c>
      <c r="C238" s="67"/>
      <c r="D238" s="263" t="s">
        <v>135</v>
      </c>
      <c r="L238" s="82"/>
    </row>
    <row r="239" spans="1:12" ht="13">
      <c r="B239" s="38" t="s">
        <v>295</v>
      </c>
      <c r="C239" s="331">
        <f>SUM(C234:C238)</f>
        <v>0</v>
      </c>
      <c r="D239" s="263" t="s">
        <v>135</v>
      </c>
      <c r="L239" s="82"/>
    </row>
    <row r="240" spans="1:12">
      <c r="B240" s="15" t="s">
        <v>326</v>
      </c>
      <c r="C240" s="79">
        <v>1</v>
      </c>
      <c r="L240" s="82"/>
    </row>
    <row r="241" spans="1:12" ht="13">
      <c r="B241" s="15" t="s">
        <v>327</v>
      </c>
      <c r="C241" s="331">
        <f>C239*C240</f>
        <v>0</v>
      </c>
      <c r="D241" s="263" t="s">
        <v>135</v>
      </c>
      <c r="E241" s="70" t="s">
        <v>508</v>
      </c>
      <c r="G241" s="39">
        <f>_xlfn.XLOOKUP(E241,Revegetation_names_UR,Revegetation_rates_UR)</f>
        <v>4626.7496736236071</v>
      </c>
      <c r="H241" s="72"/>
      <c r="I241" s="58">
        <f>IF(H241="",G241,H241)</f>
        <v>4626.7496736236071</v>
      </c>
      <c r="J241" s="263" t="s">
        <v>135</v>
      </c>
      <c r="K241" s="52">
        <f>I241*C241</f>
        <v>0</v>
      </c>
      <c r="L241" s="82"/>
    </row>
    <row r="242" spans="1:12">
      <c r="C242" s="308"/>
      <c r="L242" s="82"/>
    </row>
    <row r="243" spans="1:12" ht="13">
      <c r="B243" s="309" t="str">
        <f>B$22</f>
        <v>Totals</v>
      </c>
      <c r="C243" s="290">
        <f>C241</f>
        <v>0</v>
      </c>
      <c r="D243" s="263" t="s">
        <v>135</v>
      </c>
      <c r="H243" s="280" t="s">
        <v>329</v>
      </c>
      <c r="I243" s="51">
        <f>IF(C243=0,0,K243/C243)</f>
        <v>0</v>
      </c>
      <c r="J243" s="281" t="s">
        <v>324</v>
      </c>
      <c r="K243" s="36">
        <f>SUM(K233:K242)</f>
        <v>0</v>
      </c>
      <c r="L243" s="82"/>
    </row>
    <row r="244" spans="1:12">
      <c r="C244" s="333"/>
      <c r="L244" s="82"/>
    </row>
    <row r="245" spans="1:12" ht="13">
      <c r="A245" s="244"/>
      <c r="B245" s="222" t="s">
        <v>344</v>
      </c>
      <c r="C245" s="222"/>
      <c r="D245" s="222"/>
      <c r="E245" s="222"/>
      <c r="F245" s="222"/>
      <c r="G245" s="222"/>
      <c r="H245" s="222"/>
      <c r="I245" s="222"/>
      <c r="J245" s="222"/>
      <c r="K245" s="222"/>
      <c r="L245" s="222"/>
    </row>
    <row r="246" spans="1:12" ht="21.75" customHeight="1">
      <c r="B246" s="302" t="s">
        <v>141</v>
      </c>
      <c r="C246" s="303" t="s">
        <v>142</v>
      </c>
      <c r="D246" s="303" t="s">
        <v>82</v>
      </c>
      <c r="E246" s="303" t="s">
        <v>152</v>
      </c>
      <c r="F246" s="303"/>
      <c r="G246" s="304" t="s">
        <v>81</v>
      </c>
      <c r="H246" s="304" t="s">
        <v>143</v>
      </c>
      <c r="I246" s="304" t="s">
        <v>144</v>
      </c>
      <c r="J246" s="304" t="s">
        <v>145</v>
      </c>
      <c r="K246" s="304" t="s">
        <v>146</v>
      </c>
      <c r="L246" s="305" t="s">
        <v>345</v>
      </c>
    </row>
    <row r="247" spans="1:12">
      <c r="B247" s="38" t="s">
        <v>346</v>
      </c>
      <c r="C247" s="56">
        <f>C120</f>
        <v>0</v>
      </c>
      <c r="D247" s="263" t="s">
        <v>493</v>
      </c>
      <c r="L247" s="82"/>
    </row>
    <row r="248" spans="1:12">
      <c r="B248" s="38" t="s">
        <v>347</v>
      </c>
      <c r="C248" s="96"/>
      <c r="D248" s="263" t="s">
        <v>509</v>
      </c>
      <c r="L248" s="82"/>
    </row>
    <row r="249" spans="1:12">
      <c r="B249" s="81" t="s">
        <v>348</v>
      </c>
      <c r="C249" s="96"/>
      <c r="D249" s="263" t="s">
        <v>509</v>
      </c>
      <c r="L249" s="82"/>
    </row>
    <row r="250" spans="1:12">
      <c r="B250" s="81" t="s">
        <v>348</v>
      </c>
      <c r="C250" s="96"/>
      <c r="D250" s="263" t="s">
        <v>509</v>
      </c>
      <c r="L250" s="82"/>
    </row>
    <row r="251" spans="1:12">
      <c r="B251" s="81" t="s">
        <v>348</v>
      </c>
      <c r="C251" s="96"/>
      <c r="D251" s="263" t="s">
        <v>509</v>
      </c>
      <c r="L251" s="82"/>
    </row>
    <row r="252" spans="1:12" ht="13">
      <c r="B252" s="15" t="s">
        <v>510</v>
      </c>
      <c r="C252" s="294">
        <f>SUM(C247:C251)</f>
        <v>0</v>
      </c>
      <c r="D252" s="263" t="s">
        <v>318</v>
      </c>
      <c r="L252" s="82"/>
    </row>
    <row r="253" spans="1:12" ht="25">
      <c r="B253" s="15" t="s">
        <v>354</v>
      </c>
      <c r="C253" s="298">
        <f>C252/Concrete_density</f>
        <v>0</v>
      </c>
      <c r="D253" s="263" t="s">
        <v>302</v>
      </c>
      <c r="E253" s="76" t="s">
        <v>359</v>
      </c>
      <c r="G253" s="48">
        <f>_xlfn.XLOOKUP(E253,Load_haul_dump_concrete_onsite_names_UR,Load_haul_dump_concrete_onsite_rates_UR)</f>
        <v>4.1124294702046011</v>
      </c>
      <c r="H253" s="72"/>
      <c r="I253" s="49">
        <f>IF(H253="",G253,H253)</f>
        <v>4.1124294702046011</v>
      </c>
      <c r="J253" s="263" t="str">
        <f>D253</f>
        <v>m3</v>
      </c>
      <c r="K253" s="46">
        <f>I253*C253</f>
        <v>0</v>
      </c>
      <c r="L253" s="82"/>
    </row>
    <row r="254" spans="1:12" ht="13">
      <c r="B254" s="15" t="s">
        <v>356</v>
      </c>
      <c r="C254" s="298">
        <f>C252</f>
        <v>0</v>
      </c>
      <c r="D254" s="263" t="s">
        <v>318</v>
      </c>
      <c r="E254" s="76" t="s">
        <v>357</v>
      </c>
      <c r="G254" s="48">
        <f>_xlfn.XLOOKUP(E254,Concrete_crush_names_UR,Concrete_crush_rates_UR)</f>
        <v>11.347499195327906</v>
      </c>
      <c r="H254" s="72"/>
      <c r="I254" s="49">
        <f>IF(H254="",G254,H254)</f>
        <v>11.347499195327906</v>
      </c>
      <c r="J254" s="263" t="s">
        <v>318</v>
      </c>
      <c r="K254" s="46">
        <f>I254*C254</f>
        <v>0</v>
      </c>
      <c r="L254" s="82"/>
    </row>
    <row r="255" spans="1:12" ht="25">
      <c r="B255" s="15" t="s">
        <v>358</v>
      </c>
      <c r="C255" s="298">
        <f>C253</f>
        <v>0</v>
      </c>
      <c r="D255" s="263" t="s">
        <v>302</v>
      </c>
      <c r="E255" s="76" t="s">
        <v>511</v>
      </c>
      <c r="G255" s="48">
        <f>_xlfn.XLOOKUP(E255,Load_haul_dump_concrete_onsite_names_UR,Load_haul_dump_concrete_onsite_rates_UR)</f>
        <v>4.6943198095050924</v>
      </c>
      <c r="H255" s="72"/>
      <c r="I255" s="49">
        <f>IF(H255="",G255,H255)</f>
        <v>4.6943198095050924</v>
      </c>
      <c r="J255" s="263" t="str">
        <f>D255</f>
        <v>m3</v>
      </c>
      <c r="K255" s="46">
        <f>I255*C255</f>
        <v>0</v>
      </c>
      <c r="L255" s="82"/>
    </row>
    <row r="256" spans="1:12">
      <c r="C256" s="308"/>
      <c r="K256" s="278"/>
      <c r="L256" s="82"/>
    </row>
    <row r="257" spans="1:12" ht="13">
      <c r="B257" s="309" t="str">
        <f>B$22</f>
        <v>Totals</v>
      </c>
      <c r="C257" s="290">
        <f>C253</f>
        <v>0</v>
      </c>
      <c r="D257" s="263" t="s">
        <v>302</v>
      </c>
      <c r="H257" s="280" t="s">
        <v>360</v>
      </c>
      <c r="I257" s="58">
        <f>IF(C257=0,0,K257/C257)</f>
        <v>0</v>
      </c>
      <c r="J257" s="281" t="s">
        <v>361</v>
      </c>
      <c r="K257" s="44">
        <f>SUM(K246:K256)</f>
        <v>0</v>
      </c>
      <c r="L257" s="82"/>
    </row>
    <row r="258" spans="1:12" ht="13">
      <c r="I258" s="58">
        <f>I257/Concrete_density</f>
        <v>0</v>
      </c>
      <c r="J258" s="281" t="s">
        <v>318</v>
      </c>
      <c r="L258" s="82"/>
    </row>
    <row r="259" spans="1:12">
      <c r="L259" s="82"/>
    </row>
    <row r="260" spans="1:12" ht="13">
      <c r="A260" s="244"/>
      <c r="B260" s="222" t="s">
        <v>512</v>
      </c>
      <c r="C260" s="222"/>
      <c r="D260" s="222"/>
      <c r="E260" s="222"/>
      <c r="F260" s="222"/>
      <c r="G260" s="222"/>
      <c r="H260" s="222"/>
      <c r="I260" s="222"/>
      <c r="J260" s="222"/>
      <c r="K260" s="222"/>
      <c r="L260" s="222"/>
    </row>
    <row r="261" spans="1:12" ht="22" customHeight="1">
      <c r="B261" s="272" t="s">
        <v>141</v>
      </c>
      <c r="C261" s="273" t="s">
        <v>142</v>
      </c>
      <c r="D261" s="273" t="s">
        <v>82</v>
      </c>
      <c r="E261" s="276" t="s">
        <v>152</v>
      </c>
      <c r="F261" s="276"/>
      <c r="G261" s="275" t="s">
        <v>81</v>
      </c>
      <c r="H261" s="275" t="s">
        <v>143</v>
      </c>
      <c r="I261" s="275" t="s">
        <v>144</v>
      </c>
      <c r="J261" s="275" t="s">
        <v>145</v>
      </c>
      <c r="K261" s="275" t="s">
        <v>146</v>
      </c>
      <c r="L261" s="82"/>
    </row>
    <row r="262" spans="1:12">
      <c r="B262" s="38" t="s">
        <v>363</v>
      </c>
      <c r="C262" s="96"/>
      <c r="D262" s="263" t="s">
        <v>318</v>
      </c>
      <c r="L262" s="82"/>
    </row>
    <row r="263" spans="1:12">
      <c r="B263" s="15" t="s">
        <v>331</v>
      </c>
      <c r="C263" s="56">
        <f>_xlfn.XLOOKUP(E264,Long_haul_names_concrete_UR,Load_haul_dump_rubble_distance_avg)</f>
        <v>12.5</v>
      </c>
      <c r="D263" s="263" t="s">
        <v>155</v>
      </c>
      <c r="L263" s="82"/>
    </row>
    <row r="264" spans="1:12" ht="13">
      <c r="B264" s="57" t="s">
        <v>332</v>
      </c>
      <c r="C264" s="301">
        <f>C263*C262</f>
        <v>0</v>
      </c>
      <c r="D264" s="263" t="s">
        <v>169</v>
      </c>
      <c r="E264" s="77" t="s">
        <v>513</v>
      </c>
      <c r="G264" s="48">
        <f>_xlfn.XLOOKUP(E264,Long_haul_names_concrete_UR,Long_haul_rates_concrete_UR)</f>
        <v>1.7353226042757413</v>
      </c>
      <c r="H264" s="72"/>
      <c r="I264" s="49">
        <f>IF(H264="",G264,H264)</f>
        <v>1.7353226042757413</v>
      </c>
      <c r="J264" s="263" t="s">
        <v>169</v>
      </c>
      <c r="K264" s="46">
        <f>I264*C264</f>
        <v>0</v>
      </c>
      <c r="L264" s="82"/>
    </row>
    <row r="265" spans="1:12" ht="13">
      <c r="B265" s="57" t="s">
        <v>334</v>
      </c>
      <c r="C265" s="298">
        <f>C262</f>
        <v>0</v>
      </c>
      <c r="D265" s="263" t="s">
        <v>318</v>
      </c>
      <c r="E265" s="300" t="str">
        <f>Disposal_gate_fee_Construction_Debris</f>
        <v>Disposal (gate fee) construction debris</v>
      </c>
      <c r="G265" s="48">
        <f>Disposal_gate_fee_Construction_Debris_rate</f>
        <v>70</v>
      </c>
      <c r="H265" s="72"/>
      <c r="I265" s="49">
        <f>IF(H265="",G265,H265)</f>
        <v>70</v>
      </c>
      <c r="J265" s="263" t="s">
        <v>318</v>
      </c>
      <c r="K265" s="46">
        <f>I265*C265</f>
        <v>0</v>
      </c>
      <c r="L265" s="82"/>
    </row>
    <row r="266" spans="1:12" ht="13">
      <c r="B266" s="57" t="s">
        <v>336</v>
      </c>
      <c r="C266" s="298">
        <f>C262</f>
        <v>0</v>
      </c>
      <c r="D266" s="263" t="s">
        <v>318</v>
      </c>
      <c r="E266" s="77" t="s">
        <v>342</v>
      </c>
      <c r="G266" s="48">
        <f>_xlfn.XLOOKUP(E266,Waste_levy_names,Waste_levy_rates)</f>
        <v>85.5</v>
      </c>
      <c r="H266" s="72"/>
      <c r="I266" s="49">
        <f>IF(H266="",G266,H266)</f>
        <v>85.5</v>
      </c>
      <c r="J266" s="263" t="s">
        <v>318</v>
      </c>
      <c r="K266" s="46">
        <f>I266*C266</f>
        <v>0</v>
      </c>
      <c r="L266" s="82"/>
    </row>
    <row r="267" spans="1:12">
      <c r="C267" s="308"/>
      <c r="L267" s="82"/>
    </row>
    <row r="268" spans="1:12" ht="13">
      <c r="B268" s="309" t="str">
        <f>B$22</f>
        <v>Totals</v>
      </c>
      <c r="C268" s="290">
        <f>C262</f>
        <v>0</v>
      </c>
      <c r="D268" s="263" t="s">
        <v>318</v>
      </c>
      <c r="H268" s="280" t="s">
        <v>365</v>
      </c>
      <c r="I268" s="51">
        <f>IF(C268=0,0,K268/C268)</f>
        <v>0</v>
      </c>
      <c r="J268" s="281" t="s">
        <v>514</v>
      </c>
      <c r="K268" s="36">
        <f>SUM(K261:K267)</f>
        <v>0</v>
      </c>
      <c r="L268" s="82"/>
    </row>
    <row r="269" spans="1:12">
      <c r="L269" s="82"/>
    </row>
    <row r="270" spans="1:12" ht="13">
      <c r="A270" s="244"/>
      <c r="B270" s="222" t="s">
        <v>515</v>
      </c>
      <c r="C270" s="222"/>
      <c r="D270" s="222"/>
      <c r="E270" s="222"/>
      <c r="F270" s="222"/>
      <c r="G270" s="222"/>
      <c r="H270" s="222"/>
      <c r="I270" s="222"/>
      <c r="J270" s="222"/>
      <c r="K270" s="222"/>
      <c r="L270" s="222"/>
    </row>
    <row r="271" spans="1:12" ht="22" customHeight="1">
      <c r="B271" s="272" t="s">
        <v>141</v>
      </c>
      <c r="C271" s="273" t="s">
        <v>142</v>
      </c>
      <c r="D271" s="273" t="s">
        <v>82</v>
      </c>
      <c r="E271" s="276" t="s">
        <v>152</v>
      </c>
      <c r="F271" s="276"/>
      <c r="G271" s="275" t="s">
        <v>81</v>
      </c>
      <c r="H271" s="275" t="s">
        <v>143</v>
      </c>
      <c r="I271" s="275" t="s">
        <v>144</v>
      </c>
      <c r="J271" s="275" t="s">
        <v>145</v>
      </c>
      <c r="K271" s="275" t="s">
        <v>146</v>
      </c>
      <c r="L271" s="82"/>
    </row>
    <row r="272" spans="1:12">
      <c r="B272" s="38" t="s">
        <v>368</v>
      </c>
      <c r="C272" s="96"/>
      <c r="D272" s="263" t="s">
        <v>318</v>
      </c>
      <c r="L272" s="82"/>
    </row>
    <row r="273" spans="1:12">
      <c r="B273" s="15" t="s">
        <v>331</v>
      </c>
      <c r="C273" s="56">
        <f>_xlfn.XLOOKUP(E274,Long_haul_names_steel_UR,Load_haul_dump_steel_distance_avg)</f>
        <v>65</v>
      </c>
      <c r="D273" s="263" t="s">
        <v>155</v>
      </c>
      <c r="L273" s="82"/>
    </row>
    <row r="274" spans="1:12" ht="13">
      <c r="B274" s="57" t="s">
        <v>332</v>
      </c>
      <c r="C274" s="301">
        <f>C273*C272</f>
        <v>0</v>
      </c>
      <c r="D274" s="263" t="s">
        <v>169</v>
      </c>
      <c r="E274" s="77" t="s">
        <v>1363</v>
      </c>
      <c r="G274" s="48">
        <f>_xlfn.XLOOKUP(E274,Long_haul_names_steel_UR,Long_haul_rates_steel_UR)</f>
        <v>1.2839853261566068</v>
      </c>
      <c r="H274" s="215"/>
      <c r="I274" s="49">
        <f>IF(H274="",G274,H274)</f>
        <v>1.2839853261566068</v>
      </c>
      <c r="J274" s="263" t="s">
        <v>169</v>
      </c>
      <c r="K274" s="46">
        <f>I274*C274</f>
        <v>0</v>
      </c>
      <c r="L274" s="82"/>
    </row>
    <row r="275" spans="1:12" ht="13">
      <c r="B275" s="57" t="s">
        <v>334</v>
      </c>
      <c r="C275" s="298">
        <f>C272</f>
        <v>0</v>
      </c>
      <c r="D275" s="263" t="s">
        <v>318</v>
      </c>
      <c r="E275" s="300" t="str">
        <f>Rates!B110</f>
        <v>Disposal (gate fee) steel</v>
      </c>
      <c r="G275" s="48">
        <f>Disposal_gate_fee_Steel</f>
        <v>0</v>
      </c>
      <c r="H275" s="72"/>
      <c r="I275" s="49">
        <f>IF(H275="",G275,H275)</f>
        <v>0</v>
      </c>
      <c r="J275" s="263" t="s">
        <v>318</v>
      </c>
      <c r="K275" s="46">
        <f>I275*C275</f>
        <v>0</v>
      </c>
      <c r="L275" s="82"/>
    </row>
    <row r="276" spans="1:12" ht="13">
      <c r="B276" s="57" t="s">
        <v>336</v>
      </c>
      <c r="C276" s="298">
        <f>C272</f>
        <v>0</v>
      </c>
      <c r="D276" s="263" t="s">
        <v>318</v>
      </c>
      <c r="E276" s="77" t="s">
        <v>342</v>
      </c>
      <c r="G276" s="48">
        <f>_xlfn.XLOOKUP(E276,Waste_levy_names,Waste_levy_rates)</f>
        <v>85.5</v>
      </c>
      <c r="H276" s="72"/>
      <c r="I276" s="49">
        <f>IF(H276="",G276,H276)</f>
        <v>85.5</v>
      </c>
      <c r="J276" s="263" t="s">
        <v>318</v>
      </c>
      <c r="K276" s="46">
        <f>I276*C276</f>
        <v>0</v>
      </c>
      <c r="L276" s="82"/>
    </row>
    <row r="277" spans="1:12">
      <c r="C277" s="308"/>
      <c r="K277" s="244"/>
      <c r="L277" s="82"/>
    </row>
    <row r="278" spans="1:12" ht="13">
      <c r="B278" s="309" t="str">
        <f>B$22</f>
        <v>Totals</v>
      </c>
      <c r="C278" s="290">
        <f>C272</f>
        <v>0</v>
      </c>
      <c r="D278" s="263" t="s">
        <v>318</v>
      </c>
      <c r="H278" s="280" t="s">
        <v>371</v>
      </c>
      <c r="I278" s="51">
        <f>IF(C278=0,0,K278/C278)</f>
        <v>0</v>
      </c>
      <c r="J278" s="281" t="s">
        <v>501</v>
      </c>
      <c r="K278" s="36">
        <f>SUM(K271:K277)</f>
        <v>0</v>
      </c>
      <c r="L278" s="82"/>
    </row>
    <row r="279" spans="1:12">
      <c r="L279" s="82"/>
    </row>
    <row r="280" spans="1:12" ht="13">
      <c r="A280" s="244"/>
      <c r="B280" s="222" t="s">
        <v>516</v>
      </c>
      <c r="C280" s="222"/>
      <c r="D280" s="222"/>
      <c r="E280" s="222"/>
      <c r="F280" s="222"/>
      <c r="G280" s="222"/>
      <c r="H280" s="222"/>
      <c r="I280" s="222"/>
      <c r="J280" s="222"/>
      <c r="K280" s="222"/>
      <c r="L280" s="222"/>
    </row>
    <row r="281" spans="1:12" ht="22" customHeight="1">
      <c r="B281" s="272" t="s">
        <v>141</v>
      </c>
      <c r="C281" s="273" t="s">
        <v>142</v>
      </c>
      <c r="D281" s="273" t="s">
        <v>82</v>
      </c>
      <c r="E281" s="276" t="s">
        <v>152</v>
      </c>
      <c r="F281" s="276"/>
      <c r="G281" s="275" t="s">
        <v>81</v>
      </c>
      <c r="H281" s="275" t="s">
        <v>143</v>
      </c>
      <c r="I281" s="275" t="s">
        <v>144</v>
      </c>
      <c r="J281" s="275" t="s">
        <v>145</v>
      </c>
      <c r="K281" s="275" t="s">
        <v>146</v>
      </c>
      <c r="L281" s="92" t="s">
        <v>373</v>
      </c>
    </row>
    <row r="282" spans="1:12">
      <c r="B282" s="38" t="s">
        <v>374</v>
      </c>
      <c r="C282" s="96"/>
      <c r="D282" s="263" t="s">
        <v>318</v>
      </c>
      <c r="L282" s="82"/>
    </row>
    <row r="283" spans="1:12">
      <c r="B283" s="15" t="s">
        <v>331</v>
      </c>
      <c r="C283" s="56">
        <f>_xlfn.XLOOKUP(E284,Load_haul_dump_soil_ameliorants_from_off_site_names_UR,Load_haul_dump_growth_media_distance_avg)</f>
        <v>22.5</v>
      </c>
      <c r="D283" s="263" t="s">
        <v>155</v>
      </c>
      <c r="L283" s="82"/>
    </row>
    <row r="284" spans="1:12" ht="13">
      <c r="B284" s="57" t="s">
        <v>332</v>
      </c>
      <c r="C284" s="301">
        <f>C283*C282</f>
        <v>0</v>
      </c>
      <c r="D284" s="263" t="s">
        <v>169</v>
      </c>
      <c r="E284" s="77" t="s">
        <v>321</v>
      </c>
      <c r="G284" s="48">
        <f>_xlfn.XLOOKUP(E284,Load_haul_dump_soil_ameliorants_from_off_site_names_UR,Load_haul_dump_soil_ameliorants_from_off_site_rates_UR)</f>
        <v>0.26562499999999994</v>
      </c>
      <c r="H284" s="215"/>
      <c r="I284" s="49">
        <f>IF(H284="",G284,H284)</f>
        <v>0.26562499999999994</v>
      </c>
      <c r="J284" s="263" t="s">
        <v>169</v>
      </c>
      <c r="K284" s="46">
        <f>I284*C284</f>
        <v>0</v>
      </c>
      <c r="L284" s="82"/>
    </row>
    <row r="285" spans="1:12" ht="13">
      <c r="B285" s="57" t="s">
        <v>334</v>
      </c>
      <c r="C285" s="298">
        <f>C282</f>
        <v>0</v>
      </c>
      <c r="D285" s="263" t="s">
        <v>318</v>
      </c>
      <c r="E285" s="80" t="s">
        <v>881</v>
      </c>
      <c r="F285" s="244"/>
      <c r="G285" s="48">
        <f>_xlfn.XLOOKUP(E285,Disposal_gate_fee_names,Disposal_gate_fee_rates)</f>
        <v>500</v>
      </c>
      <c r="H285" s="72"/>
      <c r="I285" s="49">
        <f>IF(H285="",G285,H285)</f>
        <v>500</v>
      </c>
      <c r="J285" s="263" t="s">
        <v>318</v>
      </c>
      <c r="K285" s="46">
        <f>I285*C285</f>
        <v>0</v>
      </c>
      <c r="L285" s="82"/>
    </row>
    <row r="286" spans="1:12" ht="13">
      <c r="B286" s="57" t="s">
        <v>336</v>
      </c>
      <c r="C286" s="298">
        <f>C282</f>
        <v>0</v>
      </c>
      <c r="D286" s="263" t="s">
        <v>318</v>
      </c>
      <c r="E286" s="77" t="s">
        <v>342</v>
      </c>
      <c r="G286" s="48">
        <f>_xlfn.XLOOKUP(E286,Waste_levy_names,Waste_levy_rates)</f>
        <v>85.5</v>
      </c>
      <c r="H286" s="72"/>
      <c r="I286" s="49">
        <f>IF(H286="",G286,H286)</f>
        <v>85.5</v>
      </c>
      <c r="J286" s="263" t="s">
        <v>318</v>
      </c>
      <c r="K286" s="46">
        <f>I286*C286</f>
        <v>0</v>
      </c>
      <c r="L286" s="82"/>
    </row>
    <row r="287" spans="1:12">
      <c r="C287" s="308"/>
      <c r="K287" s="244"/>
      <c r="L287" s="82"/>
    </row>
    <row r="288" spans="1:12" ht="13">
      <c r="B288" s="309" t="str">
        <f>B$22</f>
        <v>Totals</v>
      </c>
      <c r="C288" s="290">
        <f>C282</f>
        <v>0</v>
      </c>
      <c r="D288" s="263" t="s">
        <v>318</v>
      </c>
      <c r="H288" s="280" t="s">
        <v>375</v>
      </c>
      <c r="I288" s="51">
        <f>IF(C288=0,0,K288/C288)</f>
        <v>0</v>
      </c>
      <c r="J288" s="281" t="s">
        <v>501</v>
      </c>
      <c r="K288" s="36">
        <f>SUM(K281:K287)</f>
        <v>0</v>
      </c>
      <c r="L288" s="82"/>
    </row>
    <row r="289" spans="1:12">
      <c r="C289" s="321"/>
      <c r="L289" s="82"/>
    </row>
    <row r="290" spans="1:12" ht="13">
      <c r="A290" s="244"/>
      <c r="B290" s="222" t="s">
        <v>376</v>
      </c>
      <c r="C290" s="222"/>
      <c r="D290" s="222"/>
      <c r="E290" s="222"/>
      <c r="F290" s="222"/>
      <c r="G290" s="222"/>
      <c r="H290" s="222"/>
      <c r="I290" s="222"/>
      <c r="J290" s="222"/>
      <c r="K290" s="222"/>
      <c r="L290" s="222"/>
    </row>
    <row r="291" spans="1:12" ht="23.5" customHeight="1">
      <c r="B291" s="272" t="s">
        <v>141</v>
      </c>
      <c r="C291" s="273" t="s">
        <v>142</v>
      </c>
      <c r="D291" s="273" t="s">
        <v>82</v>
      </c>
      <c r="E291" s="276" t="s">
        <v>152</v>
      </c>
      <c r="F291" s="276"/>
      <c r="G291" s="275" t="s">
        <v>81</v>
      </c>
      <c r="H291" s="275" t="s">
        <v>143</v>
      </c>
      <c r="I291" s="275" t="s">
        <v>144</v>
      </c>
      <c r="J291" s="275" t="s">
        <v>145</v>
      </c>
      <c r="K291" s="275" t="s">
        <v>146</v>
      </c>
      <c r="L291" s="70"/>
    </row>
    <row r="292" spans="1:12" ht="13">
      <c r="B292" s="38" t="s">
        <v>377</v>
      </c>
      <c r="C292" s="97"/>
      <c r="D292" s="263" t="s">
        <v>378</v>
      </c>
      <c r="E292" s="77" t="s">
        <v>517</v>
      </c>
      <c r="G292" s="39">
        <f>_xlfn.XLOOKUP(E292,Mobe_names_wind_CS,Mobe_rates_wind_CS)</f>
        <v>79000</v>
      </c>
      <c r="H292" s="72"/>
      <c r="I292" s="40">
        <f t="shared" ref="I292:I294" si="11">IF(H292="",G292,H292)</f>
        <v>79000</v>
      </c>
      <c r="J292" s="263" t="s">
        <v>380</v>
      </c>
      <c r="K292" s="46">
        <f>I292*C292</f>
        <v>0</v>
      </c>
      <c r="L292" s="73"/>
    </row>
    <row r="293" spans="1:12" ht="13">
      <c r="B293" s="38" t="s">
        <v>381</v>
      </c>
      <c r="C293" s="97"/>
      <c r="D293" s="263" t="s">
        <v>378</v>
      </c>
      <c r="E293" s="77" t="s">
        <v>382</v>
      </c>
      <c r="F293" s="244"/>
      <c r="G293" s="39">
        <f>_xlfn.XLOOKUP(E293,Mobe_names_electrical_CS,Mobe_rates_electrical_CS)</f>
        <v>38000</v>
      </c>
      <c r="H293" s="72"/>
      <c r="I293" s="40">
        <f t="shared" si="11"/>
        <v>38000</v>
      </c>
      <c r="J293" s="263" t="s">
        <v>380</v>
      </c>
      <c r="K293" s="46">
        <f t="shared" ref="K293:K294" si="12">I293*C293</f>
        <v>0</v>
      </c>
      <c r="L293" s="73"/>
    </row>
    <row r="294" spans="1:12" ht="13">
      <c r="B294" s="38" t="s">
        <v>383</v>
      </c>
      <c r="C294" s="97"/>
      <c r="D294" s="263" t="s">
        <v>378</v>
      </c>
      <c r="E294" s="77" t="s">
        <v>384</v>
      </c>
      <c r="F294" s="244"/>
      <c r="G294" s="39">
        <f>_xlfn.XLOOKUP(E294,Mobe_names_land_CS,Mobe_rates_land_CS)</f>
        <v>61000</v>
      </c>
      <c r="H294" s="72"/>
      <c r="I294" s="40">
        <f t="shared" si="11"/>
        <v>61000</v>
      </c>
      <c r="J294" s="263" t="s">
        <v>380</v>
      </c>
      <c r="K294" s="46">
        <f t="shared" si="12"/>
        <v>0</v>
      </c>
      <c r="L294" s="73"/>
    </row>
    <row r="295" spans="1:12">
      <c r="C295" s="292"/>
      <c r="K295" s="244"/>
      <c r="L295" s="73"/>
    </row>
    <row r="296" spans="1:12" ht="13">
      <c r="B296" s="309" t="str">
        <f>B$22</f>
        <v>Totals</v>
      </c>
      <c r="C296" s="311">
        <f>SUM(C292:C294)</f>
        <v>0</v>
      </c>
      <c r="D296" s="263" t="s">
        <v>378</v>
      </c>
      <c r="H296" s="280" t="s">
        <v>385</v>
      </c>
      <c r="I296" s="40">
        <f>IF(C296=0,0,K296/C296)</f>
        <v>0</v>
      </c>
      <c r="J296" s="281" t="s">
        <v>386</v>
      </c>
      <c r="K296" s="36">
        <f>SUM(K291:K295)</f>
        <v>0</v>
      </c>
      <c r="L296" s="70"/>
    </row>
    <row r="297" spans="1:12">
      <c r="L297" s="70"/>
    </row>
    <row r="298" spans="1:12" ht="13">
      <c r="A298" s="244"/>
      <c r="B298" s="222" t="s">
        <v>387</v>
      </c>
      <c r="C298" s="222"/>
      <c r="D298" s="222"/>
      <c r="E298" s="222"/>
      <c r="F298" s="222"/>
      <c r="G298" s="222"/>
      <c r="H298" s="222"/>
      <c r="I298" s="222"/>
      <c r="J298" s="222"/>
      <c r="K298" s="222"/>
      <c r="L298" s="222"/>
    </row>
    <row r="299" spans="1:12" ht="21" customHeight="1">
      <c r="B299" s="272" t="s">
        <v>141</v>
      </c>
      <c r="C299" s="273" t="s">
        <v>142</v>
      </c>
      <c r="D299" s="273" t="s">
        <v>82</v>
      </c>
      <c r="E299" s="276"/>
      <c r="F299" s="276"/>
      <c r="G299" s="275" t="s">
        <v>81</v>
      </c>
      <c r="H299" s="275" t="s">
        <v>143</v>
      </c>
      <c r="I299" s="275" t="s">
        <v>144</v>
      </c>
      <c r="J299" s="275" t="s">
        <v>145</v>
      </c>
      <c r="K299" s="275" t="s">
        <v>146</v>
      </c>
      <c r="L299" s="70"/>
    </row>
    <row r="300" spans="1:12" ht="13">
      <c r="B300" s="38" t="str">
        <f>'Cost Schedule'!B393</f>
        <v>Wind Farm Permitting</v>
      </c>
      <c r="C300" s="97"/>
      <c r="D300" s="263" t="s">
        <v>106</v>
      </c>
      <c r="G300" s="39">
        <f>'Cost Schedule'!C393</f>
        <v>2586.2411242438579</v>
      </c>
      <c r="H300" s="72"/>
      <c r="I300" s="40">
        <f t="shared" ref="I300:I303" si="13">IF(H300="",G300,H300)</f>
        <v>2586.2411242438579</v>
      </c>
      <c r="J300" s="263" t="s">
        <v>452</v>
      </c>
      <c r="K300" s="46">
        <f>I300*C300</f>
        <v>0</v>
      </c>
      <c r="L300" s="73"/>
    </row>
    <row r="301" spans="1:12" ht="13">
      <c r="B301" s="38" t="str">
        <f>'Cost Schedule'!B395</f>
        <v>Wind Farm Decommissioning Plan</v>
      </c>
      <c r="C301" s="97"/>
      <c r="D301" s="263" t="s">
        <v>389</v>
      </c>
      <c r="G301" s="39">
        <f>'Cost Schedule'!C395</f>
        <v>80801.857987901734</v>
      </c>
      <c r="H301" s="72"/>
      <c r="I301" s="40">
        <f t="shared" si="13"/>
        <v>80801.857987901734</v>
      </c>
      <c r="J301" s="263" t="s">
        <v>389</v>
      </c>
      <c r="K301" s="46">
        <f t="shared" ref="K301:K303" si="14">I301*C301</f>
        <v>0</v>
      </c>
      <c r="L301" s="70"/>
    </row>
    <row r="302" spans="1:12" ht="13">
      <c r="B302" s="38" t="str">
        <f>'Cost Schedule'!B397</f>
        <v>Wind Farm Collapse Plan</v>
      </c>
      <c r="C302" s="97"/>
      <c r="D302" s="263" t="s">
        <v>389</v>
      </c>
      <c r="G302" s="39">
        <f>'Cost Schedule'!C397</f>
        <v>78593.857987901734</v>
      </c>
      <c r="H302" s="72"/>
      <c r="I302" s="40">
        <f t="shared" si="13"/>
        <v>78593.857987901734</v>
      </c>
      <c r="J302" s="263" t="s">
        <v>389</v>
      </c>
      <c r="K302" s="46">
        <f t="shared" si="14"/>
        <v>0</v>
      </c>
      <c r="L302" s="70"/>
    </row>
    <row r="303" spans="1:12" ht="13">
      <c r="B303" s="38" t="s">
        <v>390</v>
      </c>
      <c r="C303" s="97"/>
      <c r="D303" s="263" t="s">
        <v>391</v>
      </c>
      <c r="H303" s="72"/>
      <c r="I303" s="40">
        <f t="shared" si="13"/>
        <v>0</v>
      </c>
      <c r="J303" s="263" t="s">
        <v>391</v>
      </c>
      <c r="K303" s="46">
        <f t="shared" si="14"/>
        <v>0</v>
      </c>
      <c r="L303" s="73"/>
    </row>
    <row r="304" spans="1:12" ht="13">
      <c r="B304" s="38" t="s">
        <v>392</v>
      </c>
      <c r="C304" s="97"/>
      <c r="D304" s="263" t="s">
        <v>391</v>
      </c>
      <c r="H304" s="72"/>
      <c r="I304" s="40">
        <f>IF(H304="",G304,H304)</f>
        <v>0</v>
      </c>
      <c r="J304" s="263" t="s">
        <v>391</v>
      </c>
      <c r="K304" s="46">
        <f>I304*C304</f>
        <v>0</v>
      </c>
      <c r="L304" s="70"/>
    </row>
    <row r="305" spans="1:12" ht="13">
      <c r="B305" s="81" t="s">
        <v>348</v>
      </c>
      <c r="C305" s="97"/>
      <c r="D305" s="263" t="s">
        <v>391</v>
      </c>
      <c r="H305" s="72"/>
      <c r="I305" s="40">
        <f>IF(H305="",G305,H305)</f>
        <v>0</v>
      </c>
      <c r="J305" s="263" t="s">
        <v>391</v>
      </c>
      <c r="K305" s="46">
        <f>I305*C305</f>
        <v>0</v>
      </c>
      <c r="L305" s="73"/>
    </row>
    <row r="306" spans="1:12">
      <c r="C306" s="310"/>
      <c r="I306" s="278"/>
      <c r="L306" s="73"/>
    </row>
    <row r="307" spans="1:12" ht="13">
      <c r="B307" s="309" t="str">
        <f>B$22</f>
        <v>Totals</v>
      </c>
      <c r="C307" s="311">
        <f>SUM(C299:C306)</f>
        <v>0</v>
      </c>
      <c r="D307" s="263" t="s">
        <v>388</v>
      </c>
      <c r="H307" s="280" t="s">
        <v>393</v>
      </c>
      <c r="I307" s="51">
        <f>IF(C307=0,0,K307/C307)</f>
        <v>0</v>
      </c>
      <c r="J307" s="281" t="s">
        <v>394</v>
      </c>
      <c r="K307" s="36">
        <f>SUM(K299:K306)</f>
        <v>0</v>
      </c>
      <c r="L307" s="70"/>
    </row>
    <row r="308" spans="1:12" ht="13">
      <c r="I308" s="51">
        <f>IF(C300=0,0,K307/C300)</f>
        <v>0</v>
      </c>
      <c r="J308" s="281" t="s">
        <v>452</v>
      </c>
      <c r="L308" s="70"/>
    </row>
    <row r="309" spans="1:12">
      <c r="L309" s="70"/>
    </row>
    <row r="310" spans="1:12" ht="13">
      <c r="A310" s="244"/>
      <c r="B310" s="222" t="s">
        <v>395</v>
      </c>
      <c r="C310" s="222"/>
      <c r="D310" s="222"/>
      <c r="E310" s="222"/>
      <c r="F310" s="222"/>
      <c r="G310" s="222"/>
      <c r="H310" s="222"/>
      <c r="I310" s="222"/>
      <c r="J310" s="222"/>
      <c r="K310" s="222"/>
      <c r="L310" s="222"/>
    </row>
    <row r="311" spans="1:12" ht="21.75" customHeight="1">
      <c r="B311" s="272" t="s">
        <v>141</v>
      </c>
      <c r="C311" s="273" t="s">
        <v>142</v>
      </c>
      <c r="D311" s="273" t="s">
        <v>82</v>
      </c>
      <c r="E311" s="276" t="s">
        <v>132</v>
      </c>
      <c r="F311" s="276"/>
      <c r="G311" s="275"/>
      <c r="H311" s="275" t="s">
        <v>143</v>
      </c>
      <c r="I311" s="275" t="s">
        <v>144</v>
      </c>
      <c r="J311" s="275" t="s">
        <v>145</v>
      </c>
      <c r="K311" s="275" t="s">
        <v>146</v>
      </c>
      <c r="L311" s="70"/>
    </row>
    <row r="312" spans="1:12" ht="13">
      <c r="B312" s="81" t="s">
        <v>396</v>
      </c>
      <c r="C312" s="96"/>
      <c r="D312" s="83"/>
      <c r="E312" s="70"/>
      <c r="H312" s="215"/>
      <c r="I312" s="49">
        <f t="shared" ref="I312:I314" si="15">IF(H312="",G312,H312)</f>
        <v>0</v>
      </c>
      <c r="J312" s="334">
        <f>D312</f>
        <v>0</v>
      </c>
      <c r="K312" s="46">
        <f t="shared" ref="K312:K317" si="16">I312*C312</f>
        <v>0</v>
      </c>
      <c r="L312" s="73"/>
    </row>
    <row r="313" spans="1:12" ht="13">
      <c r="B313" s="81" t="s">
        <v>396</v>
      </c>
      <c r="C313" s="96"/>
      <c r="D313" s="83"/>
      <c r="E313" s="70"/>
      <c r="H313" s="215"/>
      <c r="I313" s="49">
        <f t="shared" si="15"/>
        <v>0</v>
      </c>
      <c r="J313" s="334">
        <f t="shared" ref="J313:J317" si="17">D313</f>
        <v>0</v>
      </c>
      <c r="K313" s="46">
        <f t="shared" si="16"/>
        <v>0</v>
      </c>
      <c r="L313" s="70"/>
    </row>
    <row r="314" spans="1:12" ht="13">
      <c r="B314" s="81" t="s">
        <v>396</v>
      </c>
      <c r="C314" s="96"/>
      <c r="D314" s="83"/>
      <c r="E314" s="70"/>
      <c r="H314" s="215"/>
      <c r="I314" s="49">
        <f t="shared" si="15"/>
        <v>0</v>
      </c>
      <c r="J314" s="334">
        <f t="shared" si="17"/>
        <v>0</v>
      </c>
      <c r="K314" s="46">
        <f t="shared" si="16"/>
        <v>0</v>
      </c>
      <c r="L314" s="73"/>
    </row>
    <row r="315" spans="1:12" ht="13">
      <c r="B315" s="81" t="s">
        <v>396</v>
      </c>
      <c r="C315" s="96"/>
      <c r="D315" s="83"/>
      <c r="E315" s="70"/>
      <c r="H315" s="215"/>
      <c r="I315" s="49">
        <f>IF(H315="",G315,H315)</f>
        <v>0</v>
      </c>
      <c r="J315" s="334">
        <f t="shared" si="17"/>
        <v>0</v>
      </c>
      <c r="K315" s="46">
        <f t="shared" si="16"/>
        <v>0</v>
      </c>
      <c r="L315" s="70"/>
    </row>
    <row r="316" spans="1:12" ht="13">
      <c r="B316" s="81" t="s">
        <v>396</v>
      </c>
      <c r="C316" s="96"/>
      <c r="D316" s="83"/>
      <c r="E316" s="70"/>
      <c r="H316" s="215"/>
      <c r="I316" s="49">
        <f>IF(H316="",G316,H316)</f>
        <v>0</v>
      </c>
      <c r="J316" s="334">
        <f t="shared" si="17"/>
        <v>0</v>
      </c>
      <c r="K316" s="46">
        <f t="shared" si="16"/>
        <v>0</v>
      </c>
      <c r="L316" s="73"/>
    </row>
    <row r="317" spans="1:12" ht="13">
      <c r="B317" s="81" t="s">
        <v>396</v>
      </c>
      <c r="C317" s="96"/>
      <c r="D317" s="83"/>
      <c r="E317" s="70"/>
      <c r="H317" s="215"/>
      <c r="I317" s="49">
        <f>IF(H317="",G317,H317)</f>
        <v>0</v>
      </c>
      <c r="J317" s="334">
        <f t="shared" si="17"/>
        <v>0</v>
      </c>
      <c r="K317" s="46">
        <f t="shared" si="16"/>
        <v>0</v>
      </c>
      <c r="L317" s="73"/>
    </row>
    <row r="318" spans="1:12">
      <c r="C318" s="308"/>
      <c r="L318" s="73"/>
    </row>
    <row r="319" spans="1:12" ht="13">
      <c r="B319" s="309" t="str">
        <f>B$22</f>
        <v>Totals</v>
      </c>
      <c r="C319" s="290">
        <f>SUM(C311:C318)</f>
        <v>0</v>
      </c>
      <c r="D319" s="334" t="s">
        <v>388</v>
      </c>
      <c r="I319" s="335">
        <f>IF(C319=0,0,K319/C319)</f>
        <v>0</v>
      </c>
      <c r="J319" s="336" t="s">
        <v>518</v>
      </c>
      <c r="K319" s="36">
        <f>SUM(K311:K318)</f>
        <v>0</v>
      </c>
      <c r="L319" s="73"/>
    </row>
    <row r="320" spans="1:12">
      <c r="L320" s="73"/>
    </row>
    <row r="321" spans="1:12" ht="13">
      <c r="A321" s="244"/>
      <c r="B321" s="222" t="s">
        <v>399</v>
      </c>
      <c r="C321" s="222"/>
      <c r="D321" s="222"/>
      <c r="E321" s="222"/>
      <c r="F321" s="222"/>
      <c r="G321" s="222"/>
      <c r="H321" s="222"/>
      <c r="I321" s="222"/>
      <c r="J321" s="222"/>
      <c r="K321" s="222"/>
      <c r="L321" s="222"/>
    </row>
    <row r="322" spans="1:12" ht="24" customHeight="1">
      <c r="B322" s="302" t="s">
        <v>141</v>
      </c>
      <c r="C322" s="303" t="s">
        <v>142</v>
      </c>
      <c r="D322" s="267" t="s">
        <v>401</v>
      </c>
      <c r="E322" s="269"/>
      <c r="F322" s="303" t="s">
        <v>402</v>
      </c>
      <c r="G322" s="303" t="s">
        <v>81</v>
      </c>
      <c r="H322" s="303" t="s">
        <v>143</v>
      </c>
      <c r="I322" s="303" t="s">
        <v>144</v>
      </c>
      <c r="J322" s="304"/>
      <c r="K322" s="304" t="s">
        <v>146</v>
      </c>
      <c r="L322" s="73"/>
    </row>
    <row r="323" spans="1:12" ht="13">
      <c r="B323" s="38" t="s">
        <v>403</v>
      </c>
      <c r="C323" s="59">
        <v>0.1</v>
      </c>
      <c r="D323" s="84"/>
      <c r="E323" s="307" t="s">
        <v>404</v>
      </c>
      <c r="F323" s="316">
        <f>SUM(K22,K36,K42,K48,K54,K61,K72,K87,K100,K112,K128,K151,K166,K173,K183,K193,K213,K230,K243,K257,K268,K278,K288,K296,K307,K319)</f>
        <v>0</v>
      </c>
      <c r="G323" s="39">
        <f>F$323*IF(D323="",C323,D323)</f>
        <v>0</v>
      </c>
      <c r="H323" s="72"/>
      <c r="I323" s="40">
        <f>IF(H323="",G323,H323)</f>
        <v>0</v>
      </c>
      <c r="K323" s="46">
        <f>I323</f>
        <v>0</v>
      </c>
      <c r="L323" s="73"/>
    </row>
    <row r="324" spans="1:12" ht="13">
      <c r="B324" s="38" t="s">
        <v>405</v>
      </c>
      <c r="C324" s="59">
        <v>0.05</v>
      </c>
      <c r="D324" s="84"/>
      <c r="E324" s="307" t="s">
        <v>404</v>
      </c>
      <c r="G324" s="39">
        <f>F$323*IF(D324="",C324,D324)</f>
        <v>0</v>
      </c>
      <c r="H324" s="72"/>
      <c r="I324" s="40">
        <f t="shared" ref="I324:I325" si="18">IF(H324="",G324,H324)</f>
        <v>0</v>
      </c>
      <c r="K324" s="46">
        <f t="shared" ref="K324:K325" si="19">I324</f>
        <v>0</v>
      </c>
      <c r="L324" s="73"/>
    </row>
    <row r="325" spans="1:12" ht="13">
      <c r="B325" s="60" t="s">
        <v>406</v>
      </c>
      <c r="C325" s="59">
        <v>0.1</v>
      </c>
      <c r="D325" s="84"/>
      <c r="E325" s="307" t="s">
        <v>404</v>
      </c>
      <c r="G325" s="39">
        <f>F$323*IF(D325="",C325,D325)</f>
        <v>0</v>
      </c>
      <c r="H325" s="72"/>
      <c r="I325" s="40">
        <f t="shared" si="18"/>
        <v>0</v>
      </c>
      <c r="K325" s="46">
        <f t="shared" si="19"/>
        <v>0</v>
      </c>
      <c r="L325" s="73"/>
    </row>
    <row r="326" spans="1:12">
      <c r="J326" s="244"/>
      <c r="L326" s="73"/>
    </row>
    <row r="327" spans="1:12" ht="13">
      <c r="D327" s="244"/>
      <c r="J327" s="281" t="s">
        <v>398</v>
      </c>
      <c r="K327" s="36">
        <f>SUM(K322:K326)</f>
        <v>0</v>
      </c>
      <c r="L327" s="73"/>
    </row>
    <row r="328" spans="1:12">
      <c r="C328" s="244"/>
      <c r="J328" s="244"/>
      <c r="L328" s="73"/>
    </row>
    <row r="329" spans="1:12" ht="13">
      <c r="A329" s="244"/>
      <c r="B329" s="222" t="s">
        <v>519</v>
      </c>
      <c r="C329" s="222"/>
      <c r="D329" s="222"/>
      <c r="E329" s="222"/>
      <c r="F329" s="222"/>
      <c r="G329" s="222"/>
      <c r="H329" s="222"/>
      <c r="I329" s="222"/>
      <c r="J329" s="222"/>
      <c r="K329" s="222"/>
      <c r="L329" s="222"/>
    </row>
    <row r="330" spans="1:12" ht="22.5" customHeight="1">
      <c r="B330" s="302" t="s">
        <v>33</v>
      </c>
      <c r="C330" s="303" t="s">
        <v>407</v>
      </c>
      <c r="D330" s="303" t="s">
        <v>415</v>
      </c>
      <c r="E330" s="303" t="s">
        <v>152</v>
      </c>
      <c r="F330" s="303"/>
      <c r="G330" s="304" t="s">
        <v>81</v>
      </c>
      <c r="H330" s="304" t="s">
        <v>143</v>
      </c>
      <c r="I330" s="304" t="s">
        <v>144</v>
      </c>
      <c r="J330" s="304" t="s">
        <v>145</v>
      </c>
      <c r="K330" s="304" t="s">
        <v>146</v>
      </c>
      <c r="L330" s="82"/>
    </row>
    <row r="331" spans="1:12">
      <c r="B331" s="15" t="s">
        <v>410</v>
      </c>
      <c r="E331" s="337" t="str">
        <f>C13</f>
        <v>Windy Hill, Atherton (0.5MW)</v>
      </c>
      <c r="L331" s="82"/>
    </row>
    <row r="332" spans="1:12">
      <c r="B332" s="15" t="s">
        <v>520</v>
      </c>
      <c r="C332" s="93">
        <f>SUM(C333:C339)</f>
        <v>0.88100000000000001</v>
      </c>
      <c r="D332" s="94">
        <f>_xlfn.XLOOKUP($C$13,Turbine_models,Turbine_mass)*$C$14</f>
        <v>0</v>
      </c>
      <c r="L332" s="82"/>
    </row>
    <row r="333" spans="1:12" ht="13">
      <c r="B333" s="15" t="s">
        <v>521</v>
      </c>
      <c r="C333" s="93">
        <f>_xlfn.XLOOKUP(C$13,Turbine_models,Turbine_steel_iron)</f>
        <v>0.86099999999999999</v>
      </c>
      <c r="D333" s="94">
        <f>C333*D$332</f>
        <v>0</v>
      </c>
      <c r="G333" s="39">
        <f>Scrap_steel_rate*kilograms_in_tonnes</f>
        <v>200</v>
      </c>
      <c r="H333" s="72"/>
      <c r="I333" s="40">
        <f>IF(H333="",G333,H333)</f>
        <v>200</v>
      </c>
      <c r="J333" s="263" t="s">
        <v>318</v>
      </c>
      <c r="K333" s="46">
        <f t="shared" ref="K333:K339" si="20">I333*D333</f>
        <v>0</v>
      </c>
      <c r="L333" s="82"/>
    </row>
    <row r="334" spans="1:12" ht="13">
      <c r="B334" s="15" t="s">
        <v>522</v>
      </c>
      <c r="C334" s="93">
        <f>_xlfn.XLOOKUP(C$13,Turbine_models,Turbine_copper)</f>
        <v>7.0000000000000001E-3</v>
      </c>
      <c r="D334" s="94">
        <f t="shared" ref="D334:D339" si="21">C334*D$332</f>
        <v>0</v>
      </c>
      <c r="G334" s="39">
        <f>Scrap_copper_and_alloy_rate*kilograms_in_tonnes</f>
        <v>5000</v>
      </c>
      <c r="H334" s="72"/>
      <c r="I334" s="40">
        <f t="shared" ref="I334:I337" si="22">IF(H334="",G334,H334)</f>
        <v>5000</v>
      </c>
      <c r="J334" s="263" t="s">
        <v>318</v>
      </c>
      <c r="K334" s="46">
        <f t="shared" si="20"/>
        <v>0</v>
      </c>
      <c r="L334" s="82"/>
    </row>
    <row r="335" spans="1:12" ht="13">
      <c r="B335" s="15" t="s">
        <v>523</v>
      </c>
      <c r="C335" s="93">
        <f>_xlfn.XLOOKUP(C$13,Turbine_models,Turbine_aluminium)</f>
        <v>1.2999999999999999E-2</v>
      </c>
      <c r="D335" s="94">
        <f t="shared" si="21"/>
        <v>0</v>
      </c>
      <c r="G335" s="39">
        <f>Scrap_aluminium_and_alloy_rate*kilograms_in_tonnes</f>
        <v>2500</v>
      </c>
      <c r="H335" s="72"/>
      <c r="I335" s="40">
        <f t="shared" si="22"/>
        <v>2500</v>
      </c>
      <c r="J335" s="263" t="s">
        <v>318</v>
      </c>
      <c r="K335" s="46">
        <f t="shared" si="20"/>
        <v>0</v>
      </c>
      <c r="L335" s="82"/>
    </row>
    <row r="336" spans="1:12" ht="13">
      <c r="B336" s="15" t="s">
        <v>524</v>
      </c>
      <c r="C336" s="93"/>
      <c r="D336" s="94">
        <f t="shared" si="21"/>
        <v>0</v>
      </c>
      <c r="G336" s="39">
        <v>0</v>
      </c>
      <c r="H336" s="72"/>
      <c r="I336" s="40">
        <f t="shared" si="22"/>
        <v>0</v>
      </c>
      <c r="J336" s="263" t="s">
        <v>318</v>
      </c>
      <c r="K336" s="46">
        <f t="shared" si="20"/>
        <v>0</v>
      </c>
      <c r="L336" s="82"/>
    </row>
    <row r="337" spans="1:12" ht="13">
      <c r="B337" s="15" t="s">
        <v>525</v>
      </c>
      <c r="C337" s="93"/>
      <c r="D337" s="94">
        <f t="shared" si="21"/>
        <v>0</v>
      </c>
      <c r="G337" s="39">
        <f>Oil_recycle_rate</f>
        <v>500</v>
      </c>
      <c r="H337" s="72"/>
      <c r="I337" s="95">
        <f t="shared" si="22"/>
        <v>500</v>
      </c>
      <c r="J337" s="263" t="s">
        <v>445</v>
      </c>
      <c r="K337" s="46">
        <f t="shared" si="20"/>
        <v>0</v>
      </c>
      <c r="L337" s="82"/>
    </row>
    <row r="338" spans="1:12" ht="13">
      <c r="B338" s="15" t="s">
        <v>526</v>
      </c>
      <c r="C338" s="93"/>
      <c r="D338" s="94">
        <f t="shared" si="21"/>
        <v>0</v>
      </c>
      <c r="G338" s="39">
        <f>Scrap_glass_rate</f>
        <v>0</v>
      </c>
      <c r="H338" s="72"/>
      <c r="I338" s="95">
        <f>IF(H338="",G338,H338)</f>
        <v>0</v>
      </c>
      <c r="J338" s="263" t="s">
        <v>318</v>
      </c>
      <c r="K338" s="46">
        <f t="shared" si="20"/>
        <v>0</v>
      </c>
      <c r="L338" s="82"/>
    </row>
    <row r="339" spans="1:12" ht="13">
      <c r="B339" s="15" t="s">
        <v>527</v>
      </c>
      <c r="C339" s="93"/>
      <c r="D339" s="94">
        <f t="shared" si="21"/>
        <v>0</v>
      </c>
      <c r="G339" s="39">
        <v>0</v>
      </c>
      <c r="H339" s="72"/>
      <c r="I339" s="40">
        <f>IF(H339="",G339,H339)</f>
        <v>0</v>
      </c>
      <c r="J339" s="263" t="s">
        <v>318</v>
      </c>
      <c r="K339" s="46">
        <f t="shared" si="20"/>
        <v>0</v>
      </c>
      <c r="L339" s="82"/>
    </row>
    <row r="340" spans="1:12">
      <c r="L340" s="82"/>
    </row>
    <row r="341" spans="1:12" ht="13">
      <c r="H341" s="280" t="s">
        <v>528</v>
      </c>
      <c r="I341" s="51">
        <f>IF($C$14=0,0,K341/$C$14)</f>
        <v>0</v>
      </c>
      <c r="J341" s="281" t="s">
        <v>468</v>
      </c>
      <c r="K341" s="36">
        <f>SUM(K330:K340)</f>
        <v>0</v>
      </c>
      <c r="L341" s="82"/>
    </row>
    <row r="342" spans="1:12">
      <c r="L342" s="82"/>
    </row>
    <row r="343" spans="1:12" ht="23.25" customHeight="1">
      <c r="B343" s="272" t="s">
        <v>115</v>
      </c>
      <c r="C343" s="269" t="s">
        <v>418</v>
      </c>
      <c r="D343" s="269" t="s">
        <v>415</v>
      </c>
      <c r="E343" s="276" t="s">
        <v>132</v>
      </c>
      <c r="F343" s="276"/>
      <c r="G343" s="275" t="s">
        <v>81</v>
      </c>
      <c r="H343" s="275" t="s">
        <v>143</v>
      </c>
      <c r="I343" s="275" t="s">
        <v>144</v>
      </c>
      <c r="J343" s="275" t="s">
        <v>145</v>
      </c>
      <c r="K343" s="275" t="s">
        <v>146</v>
      </c>
      <c r="L343" s="82"/>
    </row>
    <row r="344" spans="1:12" ht="13">
      <c r="B344" s="65" t="str">
        <f>E26</f>
        <v>AC Low Voltage Cable</v>
      </c>
      <c r="C344" s="66">
        <f>C26</f>
        <v>0</v>
      </c>
      <c r="D344" s="320">
        <f>C344*_xlfn.XLOOKUP(B344,Electrical_cables_names_Ass,Assumptions!$E$35:$E$85)</f>
        <v>0</v>
      </c>
      <c r="E344" s="77"/>
      <c r="F344" s="77" t="s">
        <v>419</v>
      </c>
      <c r="G344" s="39">
        <f>IF(F344=Aluminium,Scrap_aluminium_and_alloy_rate,Scrap_copper_and_alloy_rate)*kilograms_in_tonnes</f>
        <v>5000</v>
      </c>
      <c r="H344" s="72"/>
      <c r="I344" s="40">
        <f>IF(H344="",G344,H344)</f>
        <v>5000</v>
      </c>
      <c r="K344" s="46">
        <f>D344*I344</f>
        <v>0</v>
      </c>
      <c r="L344" s="82"/>
    </row>
    <row r="345" spans="1:12" ht="13">
      <c r="B345" s="65" t="str">
        <f>E27</f>
        <v>AC medium Voltage Cable</v>
      </c>
      <c r="C345" s="66">
        <f>C27</f>
        <v>0</v>
      </c>
      <c r="D345" s="320">
        <f>C345*_xlfn.XLOOKUP(B345,Electrical_cables_names_Ass,Assumptions!$E$35:$E$85)</f>
        <v>0</v>
      </c>
      <c r="E345" s="77"/>
      <c r="F345" s="77" t="s">
        <v>420</v>
      </c>
      <c r="G345" s="39">
        <f>IF(F345=Aluminium,Scrap_aluminium_and_alloy_rate,Scrap_copper_and_alloy_rate)*kilograms_in_tonnes</f>
        <v>2500</v>
      </c>
      <c r="H345" s="72"/>
      <c r="I345" s="40">
        <f t="shared" ref="I345:I352" si="23">IF(H345="",G345,H345)</f>
        <v>2500</v>
      </c>
      <c r="K345" s="46">
        <f t="shared" ref="K345:K352" si="24">D345*I345</f>
        <v>0</v>
      </c>
      <c r="L345" s="82"/>
    </row>
    <row r="346" spans="1:12" ht="13">
      <c r="B346" s="65" t="str">
        <f>E28</f>
        <v>Fibre/Control Cable - 1.5mm2</v>
      </c>
      <c r="C346" s="66">
        <f>C28</f>
        <v>0</v>
      </c>
      <c r="D346" s="320">
        <f>C346*_xlfn.XLOOKUP(B346,Electrical_cables_names_Ass,Assumptions!$E$35:$E$85)</f>
        <v>0</v>
      </c>
      <c r="E346" s="77"/>
      <c r="F346" s="77" t="s">
        <v>419</v>
      </c>
      <c r="G346" s="39">
        <f>IF(F346=Aluminium,Scrap_aluminium_and_alloy_rate,Scrap_copper_and_alloy_rate)*kilograms_in_tonnes</f>
        <v>5000</v>
      </c>
      <c r="H346" s="72"/>
      <c r="I346" s="40">
        <f t="shared" si="23"/>
        <v>5000</v>
      </c>
      <c r="K346" s="46">
        <f t="shared" si="24"/>
        <v>0</v>
      </c>
      <c r="L346" s="82"/>
    </row>
    <row r="347" spans="1:12" ht="13">
      <c r="B347" s="65" t="str">
        <f>E29</f>
        <v>MV AC Cables - 3 core 150mm2</v>
      </c>
      <c r="C347" s="66">
        <f>C29</f>
        <v>0</v>
      </c>
      <c r="D347" s="320">
        <f>C347*_xlfn.XLOOKUP(B347,Electrical_cables_names_Ass,Assumptions!$E$35:$E$85)</f>
        <v>0</v>
      </c>
      <c r="E347" s="77"/>
      <c r="F347" s="77" t="s">
        <v>420</v>
      </c>
      <c r="G347" s="39">
        <f t="shared" ref="G347:G352" si="25">IF(F347=Aluminium,Scrap_aluminium_and_alloy_rate,Scrap_copper_and_alloy_rate)*kilograms_in_tonnes</f>
        <v>2500</v>
      </c>
      <c r="H347" s="72"/>
      <c r="I347" s="40">
        <f t="shared" si="23"/>
        <v>2500</v>
      </c>
      <c r="K347" s="46">
        <f t="shared" si="24"/>
        <v>0</v>
      </c>
      <c r="L347" s="82"/>
    </row>
    <row r="348" spans="1:12" ht="13">
      <c r="B348" s="65" t="str">
        <f>E30</f>
        <v>LV Cables - 3 core 25mm2</v>
      </c>
      <c r="C348" s="66">
        <f>C30</f>
        <v>0</v>
      </c>
      <c r="D348" s="320">
        <f>C348*_xlfn.XLOOKUP(B348,Electrical_cables_names_Ass,Assumptions!$E$35:$E$85)</f>
        <v>0</v>
      </c>
      <c r="E348" s="77"/>
      <c r="F348" s="77" t="s">
        <v>419</v>
      </c>
      <c r="G348" s="39">
        <f t="shared" si="25"/>
        <v>5000</v>
      </c>
      <c r="H348" s="72"/>
      <c r="I348" s="40">
        <f t="shared" si="23"/>
        <v>5000</v>
      </c>
      <c r="K348" s="46">
        <f t="shared" si="24"/>
        <v>0</v>
      </c>
      <c r="L348" s="82"/>
    </row>
    <row r="349" spans="1:12" ht="13">
      <c r="A349" s="244"/>
      <c r="B349" s="81" t="s">
        <v>348</v>
      </c>
      <c r="C349" s="87"/>
      <c r="D349" s="87"/>
      <c r="E349" s="77"/>
      <c r="F349" s="77" t="s">
        <v>419</v>
      </c>
      <c r="G349" s="39">
        <f t="shared" si="25"/>
        <v>5000</v>
      </c>
      <c r="H349" s="72"/>
      <c r="I349" s="40">
        <f t="shared" si="23"/>
        <v>5000</v>
      </c>
      <c r="K349" s="46">
        <f t="shared" si="24"/>
        <v>0</v>
      </c>
      <c r="L349" s="82"/>
    </row>
    <row r="350" spans="1:12" ht="13">
      <c r="A350" s="244"/>
      <c r="B350" s="81" t="s">
        <v>348</v>
      </c>
      <c r="C350" s="87"/>
      <c r="D350" s="87"/>
      <c r="E350" s="77"/>
      <c r="F350" s="77" t="s">
        <v>420</v>
      </c>
      <c r="G350" s="39">
        <f t="shared" si="25"/>
        <v>2500</v>
      </c>
      <c r="H350" s="72"/>
      <c r="I350" s="40">
        <f t="shared" si="23"/>
        <v>2500</v>
      </c>
      <c r="K350" s="46">
        <f t="shared" si="24"/>
        <v>0</v>
      </c>
      <c r="L350" s="73"/>
    </row>
    <row r="351" spans="1:12" ht="13">
      <c r="A351" s="244"/>
      <c r="B351" s="81" t="s">
        <v>348</v>
      </c>
      <c r="C351" s="87"/>
      <c r="D351" s="87"/>
      <c r="E351" s="77"/>
      <c r="F351" s="77" t="s">
        <v>419</v>
      </c>
      <c r="G351" s="39">
        <f t="shared" si="25"/>
        <v>5000</v>
      </c>
      <c r="H351" s="72"/>
      <c r="I351" s="40">
        <f t="shared" si="23"/>
        <v>5000</v>
      </c>
      <c r="K351" s="46">
        <f t="shared" si="24"/>
        <v>0</v>
      </c>
      <c r="L351" s="73"/>
    </row>
    <row r="352" spans="1:12" ht="13">
      <c r="A352" s="244"/>
      <c r="B352" s="81" t="s">
        <v>348</v>
      </c>
      <c r="C352" s="87"/>
      <c r="D352" s="87"/>
      <c r="E352" s="77"/>
      <c r="F352" s="77" t="s">
        <v>420</v>
      </c>
      <c r="G352" s="39">
        <f t="shared" si="25"/>
        <v>2500</v>
      </c>
      <c r="H352" s="72"/>
      <c r="I352" s="40">
        <f t="shared" si="23"/>
        <v>2500</v>
      </c>
      <c r="K352" s="46">
        <f t="shared" si="24"/>
        <v>0</v>
      </c>
      <c r="L352" s="73"/>
    </row>
    <row r="353" spans="2:12">
      <c r="L353" s="73"/>
    </row>
    <row r="354" spans="2:12" ht="13">
      <c r="B354" s="256" t="s">
        <v>85</v>
      </c>
      <c r="C354" s="320">
        <f>SUM(C344:C352)</f>
        <v>0</v>
      </c>
      <c r="D354" s="320">
        <f>SUM(D344:D352)</f>
        <v>0</v>
      </c>
      <c r="E354" s="244"/>
      <c r="F354" s="276"/>
      <c r="H354" s="270" t="s">
        <v>421</v>
      </c>
      <c r="I354" s="40">
        <f>IF($C$14=0,0,K354/$C$14)</f>
        <v>0</v>
      </c>
      <c r="J354" s="281" t="s">
        <v>468</v>
      </c>
      <c r="K354" s="36">
        <f>SUM(K343:K353)</f>
        <v>0</v>
      </c>
      <c r="L354" s="82"/>
    </row>
    <row r="355" spans="2:12">
      <c r="G355" s="244"/>
    </row>
  </sheetData>
  <sheetProtection algorithmName="SHA-512" hashValue="O2zum9+rFTW1N/qTCgPX8WWPx0tZqQI8W+nON6nlSQgM3IKN0E02TO5LDyYsmppGseRlTV0NRp97lBmNCtqGkA==" saltValue="Ub8i7pnbN81YzJi1brxAfA==" spinCount="100000" sheet="1" objects="1" scenarios="1" autoFilter="0"/>
  <phoneticPr fontId="8" type="noConversion"/>
  <dataValidations count="33">
    <dataValidation type="list" allowBlank="1" showInputMessage="1" showErrorMessage="1" sqref="E209" xr:uid="{0D5B0D1D-E50C-4834-A736-DEB4335D9B45}">
      <formula1>Load_haul_dump_growth_media_onsite_names_UR</formula1>
    </dataValidation>
    <dataValidation type="list" allowBlank="1" showInputMessage="1" showErrorMessage="1" sqref="E227 E211 E284" xr:uid="{8C99BC04-CF73-471C-9639-2696B4682068}">
      <formula1>Load_haul_dump_soil_ameliorants_from_off_site_names_UR</formula1>
    </dataValidation>
    <dataValidation type="list" allowBlank="1" showInputMessage="1" showErrorMessage="1" sqref="E266 E276 E286 E110 E85 E98 E70 E124" xr:uid="{3E311899-F6B5-49F8-B1EB-F4C4B0AB9156}">
      <formula1>Waste_levy_names</formula1>
    </dataValidation>
    <dataValidation type="list" allowBlank="1" showInputMessage="1" showErrorMessage="1" sqref="E68" xr:uid="{B0D8FDC9-8A56-4152-ABC2-77B76AA9D1C3}">
      <formula1>Long_haul_names_oil_UR</formula1>
    </dataValidation>
    <dataValidation type="list" allowBlank="1" showInputMessage="1" showErrorMessage="1" sqref="E264 E122" xr:uid="{43E65AAD-3CC0-4B38-9A5B-57F0CD4870A1}">
      <formula1>Long_haul_names_concrete_UR</formula1>
    </dataValidation>
    <dataValidation type="list" allowBlank="1" showInputMessage="1" showErrorMessage="1" sqref="E274 E108" xr:uid="{EAE638AA-0AE4-44F3-BCBA-F4DE0601EF89}">
      <formula1>Long_haul_names_steel_UR</formula1>
    </dataValidation>
    <dataValidation type="list" allowBlank="1" showInputMessage="1" showErrorMessage="1" sqref="E132:E149" xr:uid="{5F3E6DE4-FAF4-41B6-A0D1-F42F7333AB64}">
      <formula1>Roads_tracks_laydown_list_UR</formula1>
    </dataValidation>
    <dataValidation type="list" allowBlank="1" showInputMessage="1" showErrorMessage="1" sqref="E182 E192" xr:uid="{C77D9558-0FB9-4E66-8DDD-3D3050721AFB}">
      <formula1>Buildings_by_area_names_UR</formula1>
    </dataValidation>
    <dataValidation type="list" allowBlank="1" showInputMessage="1" showErrorMessage="1" sqref="E82" xr:uid="{9CBCC1E8-E1C0-487D-99FB-1DD85E5FD7FF}">
      <formula1>Blades_hub_haul_unload_names_UR</formula1>
    </dataValidation>
    <dataValidation type="list" allowBlank="1" showInputMessage="1" showErrorMessage="1" sqref="E96" xr:uid="{718F96A3-2483-40AB-B814-498E272AED82}">
      <formula1>Nacelles_haul_unload_names_UR</formula1>
    </dataValidation>
    <dataValidation type="list" allowBlank="1" showInputMessage="1" showErrorMessage="1" sqref="E31:E34" xr:uid="{84B15FEE-968F-4E76-9DC6-3751A0EA4682}">
      <formula1>Cable_drums_haul_unload_names_UR</formula1>
    </dataValidation>
    <dataValidation type="list" allowBlank="1" showInputMessage="1" showErrorMessage="1" sqref="E292" xr:uid="{02C1D1A3-1047-431B-87B2-520AD6D3BACA}">
      <formula1>Mobe_names_wind_CS</formula1>
    </dataValidation>
    <dataValidation type="list" allowBlank="1" showInputMessage="1" showErrorMessage="1" sqref="E294" xr:uid="{C69F24F9-FCCA-4A37-921F-CC82179557A5}">
      <formula1>Mobe_names_land_CS</formula1>
    </dataValidation>
    <dataValidation type="list" allowBlank="1" showInputMessage="1" showErrorMessage="1" sqref="E293" xr:uid="{2766FD65-EDD3-46C8-B913-5681CA08002C}">
      <formula1>Mobe_names_electrical_CS</formula1>
    </dataValidation>
    <dataValidation type="list" allowBlank="1" showInputMessage="1" showErrorMessage="1" sqref="E241" xr:uid="{C1AF4C0E-2C6A-487F-BD7C-2A03EA17DD21}">
      <formula1>Revegetation_names_UR</formula1>
    </dataValidation>
    <dataValidation type="list" allowBlank="1" showInputMessage="1" showErrorMessage="1" sqref="F344:F352" xr:uid="{485ABB3C-959E-44A9-A074-1A5AA0F3A3DE}">
      <formula1>Electrical_cable_material</formula1>
    </dataValidation>
    <dataValidation type="list" allowBlank="1" showInputMessage="1" showErrorMessage="1" sqref="C13" xr:uid="{BA589E35-23E7-4B83-88D1-28B47FEEC5E9}">
      <formula1>Turbine_models</formula1>
    </dataValidation>
    <dataValidation type="custom" allowBlank="1" showInputMessage="1" showErrorMessage="1" error="Please enter a numeric value." sqref="C11:C12 C58:C59 C170:C171 H58:H59 H170:H171 C66" xr:uid="{E43B41DA-11FC-4DE2-B173-7A690B6F7CBF}">
      <formula1>ISNUMBER(C11:C12)</formula1>
    </dataValidation>
    <dataValidation type="custom" allowBlank="1" showInputMessage="1" showErrorMessage="1" error="Please enter a numeric value." sqref="C14 C40 C46 C93 C262 C272 C282 H40 H46 H241 H344:H352 C116:C117 C104:C105 C80 C65" xr:uid="{48F9D385-E17B-48C4-BABA-F17FCD17F9CA}">
      <formula1>ISNUMBER(C14)</formula1>
    </dataValidation>
    <dataValidation type="custom" allowBlank="1" showInputMessage="1" showErrorMessage="1" error="Please enter a numeric value." sqref="H187:H191 C177:C181 C187:C191 H66:H70 H177:H181 C28:C30" xr:uid="{915D4BC1-E97C-4913-87C7-B7F21C4B83A2}">
      <formula1>ISNUMBER(C28:C32)</formula1>
    </dataValidation>
    <dataValidation type="custom" allowBlank="1" showInputMessage="1" showErrorMessage="1" error="Please enter a numeric value." sqref="C312:C317 H312:H317 H300:H302 C300:C302 H339" xr:uid="{23828C7F-0BD1-4937-AD98-6A3BFB1C4EF5}">
      <formula1>ISNUMBER(C300:C305)</formula1>
    </dataValidation>
    <dataValidation type="custom" allowBlank="1" showInputMessage="1" showErrorMessage="1" error="Please enter a numeric value." sqref="C248:C251 C20 H20" xr:uid="{A346E9EF-1719-41B0-8C7C-52F45FA7CCE4}">
      <formula1>ISNUMBER(C20:C23)</formula1>
    </dataValidation>
    <dataValidation type="custom" allowBlank="1" showInputMessage="1" showErrorMessage="1" error="Please enter a numeric value." sqref="C292:C294 H209:H211 H226:H228 H253:H255 H264:H266 H274:H276 H284:H286 H323:H325 C118 H292:H294 C18:C19 H18:H19" xr:uid="{19909B13-D85D-40BB-8A1C-D78ABDB7BBC5}">
      <formula1>ISNUMBER(C18:C20)</formula1>
    </dataValidation>
    <dataValidation type="custom" allowBlank="1" showInputMessage="1" showErrorMessage="1" error="Please enter a numeric value." sqref="C132:C149 H132:H149" xr:uid="{BFDD7AD9-FBD9-4E7D-B4EB-000BE445A36A}">
      <formula1>ISNUMBER(C132:C149)</formula1>
    </dataValidation>
    <dataValidation type="custom" allowBlank="1" showInputMessage="1" showErrorMessage="1" error="Please enter a numeric value." sqref="C155:C164 C197:C206 C208 H155:H164 C224 C241 C26:C27" xr:uid="{E0042AFA-D194-444F-B222-36940B6C9ABA}">
      <formula1>ISNUMBER(C26:C35)</formula1>
    </dataValidation>
    <dataValidation type="custom" allowBlank="1" showInputMessage="1" showErrorMessage="1" error="Please enter a numeric value." sqref="C217:C223 H92:H98 C234:C240 C303:C305 H303:H305 H333:H337 H104 H126" xr:uid="{CD4E24F7-9748-49FD-8D45-61FA751D5882}">
      <formula1>ISNUMBER(C92:C98)</formula1>
    </dataValidation>
    <dataValidation type="decimal" allowBlank="1" showInputMessage="1" showErrorMessage="1" error="Please enter a valid percentage." sqref="D323:D325" xr:uid="{0096BA0C-AC1C-470A-84A5-843CD590364E}">
      <formula1>0</formula1>
      <formula2>100</formula2>
    </dataValidation>
    <dataValidation type="custom" allowBlank="1" showInputMessage="1" showErrorMessage="1" error="Please enter a numeric value." sqref="H26:H34 H105:H110" xr:uid="{4ECA64FC-DB35-4A42-B6D6-5BDF437841E6}">
      <formula1>ISNUMBER(H26:H34)</formula1>
    </dataValidation>
    <dataValidation type="custom" allowBlank="1" showInputMessage="1" showErrorMessage="1" error="Please enter a numeric value." sqref="H78:H85 H119:H124" xr:uid="{1D46A09D-7CB3-4B58-AC20-46140DC2D35B}">
      <formula1>ISNUMBER(H78:H85)</formula1>
    </dataValidation>
    <dataValidation type="custom" allowBlank="1" showInputMessage="1" showErrorMessage="1" error="Please enter a numeric value." sqref="C349:D350" xr:uid="{8D241CDE-7E4A-45DC-B654-62FF5FC4A96A}">
      <formula1>ISNUMBER(C349:D352)</formula1>
    </dataValidation>
    <dataValidation type="custom" allowBlank="1" showInputMessage="1" showErrorMessage="1" error="Please enter a numeric value." sqref="C351:D352" xr:uid="{DDEA84EC-527B-4DC6-801F-F5ED81B2BF5D}">
      <formula1>ISNUMBER(C351:D355)</formula1>
    </dataValidation>
    <dataValidation type="custom" allowBlank="1" showInputMessage="1" showErrorMessage="1" error="Please enter a numeric value." sqref="H338" xr:uid="{F86A8331-F7F6-42F9-8F78-78F32C136580}">
      <formula1>ISNUMBER(H338:H354)</formula1>
    </dataValidation>
    <dataValidation type="custom" allowBlank="1" showInputMessage="1" showErrorMessage="1" error="Please enter a numeric value." sqref="C52 H52" xr:uid="{82182A25-5345-4AE0-9008-2761195C9912}">
      <formula1>ISNUMBER(C52:C52)</formula1>
    </dataValidation>
  </dataValidations>
  <hyperlinks>
    <hyperlink ref="B4" location="Information" display="Return to Information" xr:uid="{0987D08E-AB04-4E9C-B081-0F20FA8AF50A}"/>
    <hyperlink ref="B6" location="Summary_wind" display="Summary Page" xr:uid="{FC2DEC20-D73B-493B-8F9C-3A7FD5986D7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7">
        <x14:dataValidation type="list" allowBlank="1" showInputMessage="1" showErrorMessage="1" xr:uid="{9721266F-1A53-4413-824E-6B985AC0056C}">
          <x14:formula1>
            <xm:f>Lists!#REF!</xm:f>
          </x14:formula1>
          <xm:sqref>E226</xm:sqref>
        </x14:dataValidation>
        <x14:dataValidation type="list" allowBlank="1" showInputMessage="1" showErrorMessage="1" xr:uid="{66BC5D46-7A8E-4BBA-980B-0A953A4C7EDF}">
          <x14:formula1>
            <xm:f>Rates!$B$120:$B$121</xm:f>
          </x14:formula1>
          <xm:sqref>E84</xm:sqref>
        </x14:dataValidation>
        <x14:dataValidation type="list" allowBlank="1" showInputMessage="1" showErrorMessage="1" xr:uid="{504D30E7-B2F5-490F-B271-38D063E247FA}">
          <x14:formula1>
            <xm:f>Lists!$B$33:$B$35</xm:f>
          </x14:formula1>
          <xm:sqref>F132:F149</xm:sqref>
        </x14:dataValidation>
        <x14:dataValidation type="list" allowBlank="1" showInputMessage="1" showErrorMessage="1" xr:uid="{5B0109A9-844F-4C63-AFB8-8EBBF5749522}">
          <x14:formula1>
            <xm:f>'Cost Schedule'!$B$222:$B$224</xm:f>
          </x14:formula1>
          <xm:sqref>E155:E164</xm:sqref>
        </x14:dataValidation>
        <x14:dataValidation type="list" allowBlank="1" showInputMessage="1" showErrorMessage="1" xr:uid="{067DFAF0-9FC2-4FF8-902C-667607E538FF}">
          <x14:formula1>
            <xm:f>Lists!$B$164:$B$166</xm:f>
          </x14:formula1>
          <xm:sqref>F155:F164 F170:F171</xm:sqref>
        </x14:dataValidation>
        <x14:dataValidation type="list" allowBlank="1" showInputMessage="1" showErrorMessage="1" xr:uid="{A2E7A98E-877A-4054-872E-F3C0C4121388}">
          <x14:formula1>
            <xm:f>'Cost Schedule'!$B$6:$B$8</xm:f>
          </x14:formula1>
          <xm:sqref>E170:E171</xm:sqref>
        </x14:dataValidation>
        <x14:dataValidation type="list" allowBlank="1" showInputMessage="1" showErrorMessage="1" xr:uid="{FE02CC47-343C-459B-8491-E3F853CB8324}">
          <x14:formula1>
            <xm:f>Lists!$B$184:$B$185</xm:f>
          </x14:formula1>
          <xm:sqref>E78</xm:sqref>
        </x14:dataValidation>
        <x14:dataValidation type="list" allowBlank="1" showInputMessage="1" showErrorMessage="1" xr:uid="{1C113A70-8FFE-4798-B23E-2B5AEDD177D1}">
          <x14:formula1>
            <xm:f>Assumptions!$B$74:$B$78</xm:f>
          </x14:formula1>
          <xm:sqref>E28</xm:sqref>
        </x14:dataValidation>
        <x14:dataValidation type="list" allowBlank="1" showInputMessage="1" showErrorMessage="1" xr:uid="{DBD7A2BA-BD8F-4C63-A3CD-BD2CB16DC182}">
          <x14:formula1>
            <xm:f>Assumptions!$B$79:$B$80</xm:f>
          </x14:formula1>
          <xm:sqref>E29</xm:sqref>
        </x14:dataValidation>
        <x14:dataValidation type="list" allowBlank="1" showInputMessage="1" showErrorMessage="1" xr:uid="{0B65CED7-2AC8-4096-BF0A-AFDBDBF33170}">
          <x14:formula1>
            <xm:f>'Cost Schedule'!$B$30:$B$34</xm:f>
          </x14:formula1>
          <xm:sqref>E177:E181</xm:sqref>
        </x14:dataValidation>
        <x14:dataValidation type="list" allowBlank="1" showInputMessage="1" showErrorMessage="1" xr:uid="{1A94A80D-5003-48ED-8B0E-4575B545B673}">
          <x14:formula1>
            <xm:f>Assumptions!$B$81:$B$85</xm:f>
          </x14:formula1>
          <xm:sqref>E30</xm:sqref>
        </x14:dataValidation>
        <x14:dataValidation type="list" allowBlank="1" showInputMessage="1" showErrorMessage="1" xr:uid="{675078EA-2AB4-40BE-BE30-47A9A9B28BD2}">
          <x14:formula1>
            <xm:f>'Cost Schedule'!$B$43:$B$45</xm:f>
          </x14:formula1>
          <xm:sqref>E254</xm:sqref>
        </x14:dataValidation>
        <x14:dataValidation type="list" allowBlank="1" showInputMessage="1" showErrorMessage="1" xr:uid="{5227A894-993C-49B8-B9FC-CAF3366DA3FE}">
          <x14:formula1>
            <xm:f>'Cost Schedule'!$B$436:$B$438</xm:f>
          </x14:formula1>
          <xm:sqref>E52</xm:sqref>
        </x14:dataValidation>
        <x14:dataValidation type="list" allowBlank="1" showInputMessage="1" showErrorMessage="1" xr:uid="{61EDC99A-C30C-4694-8FC9-849AC1095F40}">
          <x14:formula1>
            <xm:f>'Cost Schedule'!$B$246:$B$256</xm:f>
          </x14:formula1>
          <xm:sqref>E255 E253</xm:sqref>
        </x14:dataValidation>
        <x14:dataValidation type="list" allowBlank="1" showInputMessage="1" showErrorMessage="1" xr:uid="{0F0BA1B5-09C5-4E59-9947-741BCC29BD6D}">
          <x14:formula1>
            <xm:f>'Cost Schedule'!$B$96:$B$97</xm:f>
          </x14:formula1>
          <xm:sqref>E26:E27</xm:sqref>
        </x14:dataValidation>
        <x14:dataValidation type="list" allowBlank="1" showInputMessage="1" showErrorMessage="1" xr:uid="{5757E175-C878-4E7E-A153-00E10D460547}">
          <x14:formula1>
            <xm:f>'Cost Schedule'!$B$37:$B$40</xm:f>
          </x14:formula1>
          <xm:sqref>E187:E191</xm:sqref>
        </x14:dataValidation>
        <x14:dataValidation type="list" allowBlank="1" showInputMessage="1" showErrorMessage="1" xr:uid="{F19E2340-0A93-4CF5-AC3C-7194B1F96396}">
          <x14:formula1>
            <xm:f>Rates!$B$114:$B$115</xm:f>
          </x14:formula1>
          <xm:sqref>E285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D6BC-E39C-4E87-94A9-DA94D1C8E0A1}">
  <sheetPr codeName="Sheet7">
    <tabColor theme="9"/>
  </sheetPr>
  <dimension ref="B2:L339"/>
  <sheetViews>
    <sheetView showGridLines="0" zoomScaleNormal="100" workbookViewId="0">
      <pane xSplit="4" ySplit="8" topLeftCell="E9" activePane="bottomRight" state="frozen"/>
      <selection pane="topRight" activeCell="E1" sqref="E1"/>
      <selection pane="bottomLeft" activeCell="A10" sqref="A10"/>
      <selection pane="bottomRight"/>
    </sheetView>
  </sheetViews>
  <sheetFormatPr defaultColWidth="8.7265625" defaultRowHeight="12.5"/>
  <cols>
    <col min="1" max="1" width="1.81640625" style="244" customWidth="1"/>
    <col min="2" max="2" width="55.1796875" style="244" customWidth="1"/>
    <col min="3" max="3" width="12.54296875" style="244" customWidth="1"/>
    <col min="4" max="4" width="14.81640625" style="244" customWidth="1"/>
    <col min="5" max="5" width="62.7265625" style="244" customWidth="1"/>
    <col min="6" max="6" width="15" style="244" customWidth="1"/>
    <col min="7" max="7" width="13.26953125" style="244" customWidth="1"/>
    <col min="8" max="8" width="12.54296875" style="244" customWidth="1"/>
    <col min="9" max="9" width="13.26953125" style="244" customWidth="1"/>
    <col min="10" max="10" width="14.81640625" style="244" customWidth="1"/>
    <col min="11" max="11" width="15.54296875" style="244" customWidth="1"/>
    <col min="12" max="12" width="53.453125" style="244" customWidth="1"/>
    <col min="13" max="16384" width="8.7265625" style="244"/>
  </cols>
  <sheetData>
    <row r="2" spans="2:12" ht="17.25" customHeight="1">
      <c r="B2" s="243" t="str">
        <f>Project_Name</f>
        <v xml:space="preserve">South Australia Hydrogen and Renewable Energy Restoration Cost Estimation Tool </v>
      </c>
      <c r="J2" s="256" t="s">
        <v>127</v>
      </c>
      <c r="K2" s="98">
        <f>F302+K306</f>
        <v>0</v>
      </c>
      <c r="L2" s="99"/>
    </row>
    <row r="3" spans="2:12" ht="3" customHeight="1">
      <c r="J3" s="256"/>
    </row>
    <row r="4" spans="2:12" ht="15.75" customHeight="1">
      <c r="B4" s="37" t="s">
        <v>47</v>
      </c>
      <c r="J4" s="256" t="s">
        <v>128</v>
      </c>
      <c r="K4" s="36">
        <f>K322+K339</f>
        <v>0</v>
      </c>
    </row>
    <row r="5" spans="2:12" ht="3" customHeight="1">
      <c r="J5" s="256"/>
    </row>
    <row r="6" spans="2:12" ht="18" customHeight="1">
      <c r="B6" s="37" t="s">
        <v>129</v>
      </c>
      <c r="E6" s="255"/>
      <c r="F6" s="255"/>
      <c r="G6" s="255"/>
      <c r="H6" s="255"/>
      <c r="I6" s="255"/>
      <c r="J6" s="256" t="s">
        <v>130</v>
      </c>
      <c r="K6" s="36">
        <f>K2-K4</f>
        <v>0</v>
      </c>
    </row>
    <row r="7" spans="2:12" ht="3" customHeight="1">
      <c r="E7" s="244" t="s">
        <v>529</v>
      </c>
    </row>
    <row r="8" spans="2:12" ht="17.25" customHeight="1">
      <c r="B8" s="221" t="s">
        <v>19</v>
      </c>
      <c r="C8" s="221"/>
      <c r="D8" s="221"/>
      <c r="E8" s="221"/>
      <c r="F8" s="221"/>
      <c r="G8" s="221"/>
      <c r="H8" s="221"/>
      <c r="I8" s="221"/>
      <c r="J8" s="221"/>
      <c r="K8" s="221"/>
      <c r="L8" s="221" t="s">
        <v>132</v>
      </c>
    </row>
    <row r="9" spans="2:12" ht="13">
      <c r="B9" s="265"/>
      <c r="C9" s="265"/>
      <c r="D9" s="265"/>
      <c r="G9" s="265"/>
      <c r="H9" s="265"/>
      <c r="I9" s="265"/>
      <c r="J9" s="265"/>
      <c r="K9" s="265"/>
      <c r="L9" s="265"/>
    </row>
    <row r="10" spans="2:12" ht="13">
      <c r="B10" s="222" t="s">
        <v>133</v>
      </c>
      <c r="C10" s="222"/>
      <c r="D10" s="222"/>
      <c r="E10" s="222"/>
      <c r="F10" s="222"/>
      <c r="G10" s="222"/>
      <c r="H10" s="222"/>
      <c r="I10" s="222"/>
      <c r="J10" s="222"/>
      <c r="K10" s="222"/>
      <c r="L10" s="222"/>
    </row>
    <row r="11" spans="2:12" ht="13">
      <c r="B11" s="38" t="s">
        <v>134</v>
      </c>
      <c r="C11" s="67"/>
      <c r="D11" s="244" t="s">
        <v>135</v>
      </c>
      <c r="G11" s="265"/>
      <c r="H11" s="265"/>
      <c r="I11" s="265"/>
      <c r="J11" s="265"/>
      <c r="K11" s="265"/>
      <c r="L11" s="70"/>
    </row>
    <row r="12" spans="2:12" ht="13">
      <c r="B12" s="38" t="s">
        <v>88</v>
      </c>
      <c r="C12" s="67"/>
      <c r="D12" s="244" t="s">
        <v>89</v>
      </c>
      <c r="G12" s="265"/>
      <c r="H12" s="265"/>
      <c r="I12" s="265"/>
      <c r="J12" s="265"/>
      <c r="K12" s="265"/>
      <c r="L12" s="70"/>
    </row>
    <row r="13" spans="2:12" ht="13">
      <c r="B13" s="38"/>
      <c r="C13" s="67"/>
      <c r="D13" s="244" t="s">
        <v>530</v>
      </c>
      <c r="G13" s="265"/>
      <c r="H13" s="265"/>
      <c r="I13" s="265"/>
      <c r="J13" s="265"/>
      <c r="K13" s="265"/>
      <c r="L13" s="70"/>
    </row>
    <row r="14" spans="2:12" ht="25">
      <c r="B14" s="38" t="s">
        <v>531</v>
      </c>
      <c r="C14" s="68" t="s">
        <v>138</v>
      </c>
      <c r="G14" s="265"/>
      <c r="H14" s="265"/>
      <c r="I14" s="265"/>
      <c r="J14" s="265"/>
      <c r="K14" s="265"/>
      <c r="L14" s="70"/>
    </row>
    <row r="15" spans="2:12" ht="13">
      <c r="B15" s="38" t="s">
        <v>111</v>
      </c>
      <c r="C15" s="69"/>
      <c r="D15" s="244" t="s">
        <v>112</v>
      </c>
      <c r="G15" s="265"/>
      <c r="H15" s="265"/>
      <c r="I15" s="265"/>
      <c r="J15" s="265"/>
      <c r="K15" s="265"/>
      <c r="L15" s="70"/>
    </row>
    <row r="16" spans="2:12">
      <c r="L16" s="70"/>
    </row>
    <row r="17" spans="2:12" ht="13">
      <c r="B17" s="222" t="s">
        <v>140</v>
      </c>
      <c r="C17" s="222"/>
      <c r="D17" s="222"/>
      <c r="E17" s="222"/>
      <c r="F17" s="222"/>
      <c r="G17" s="222"/>
      <c r="H17" s="222"/>
      <c r="I17" s="222"/>
      <c r="J17" s="222"/>
      <c r="K17" s="222"/>
      <c r="L17" s="222"/>
    </row>
    <row r="18" spans="2:12" ht="13">
      <c r="B18" s="266" t="s">
        <v>141</v>
      </c>
      <c r="C18" s="267" t="s">
        <v>142</v>
      </c>
      <c r="D18" s="267" t="s">
        <v>82</v>
      </c>
      <c r="E18" s="265"/>
      <c r="G18" s="268" t="s">
        <v>81</v>
      </c>
      <c r="H18" s="268" t="s">
        <v>143</v>
      </c>
      <c r="I18" s="268" t="s">
        <v>144</v>
      </c>
      <c r="J18" s="268" t="s">
        <v>145</v>
      </c>
      <c r="K18" s="268" t="s">
        <v>146</v>
      </c>
      <c r="L18" s="70"/>
    </row>
    <row r="19" spans="2:12" ht="13">
      <c r="B19" s="38" t="str">
        <f>'Cost Schedule'!B53</f>
        <v>Disconnect grid</v>
      </c>
      <c r="C19" s="69"/>
      <c r="D19" s="263" t="s">
        <v>147</v>
      </c>
      <c r="E19" s="263"/>
      <c r="F19" s="263"/>
      <c r="G19" s="39">
        <f>'Cost Schedule'!C53</f>
        <v>37164.617880143458</v>
      </c>
      <c r="H19" s="72"/>
      <c r="I19" s="40">
        <f>IF(H19="",G19,H19)</f>
        <v>37164.617880143458</v>
      </c>
      <c r="J19" s="263" t="s">
        <v>148</v>
      </c>
      <c r="K19" s="42">
        <f>I19*C19</f>
        <v>0</v>
      </c>
      <c r="L19" s="73"/>
    </row>
    <row r="20" spans="2:12" ht="13">
      <c r="B20" s="38" t="str">
        <f>'Cost Schedule'!B56</f>
        <v>Diesel generators</v>
      </c>
      <c r="C20" s="69"/>
      <c r="D20" s="263" t="s">
        <v>147</v>
      </c>
      <c r="E20" s="263"/>
      <c r="F20" s="263"/>
      <c r="G20" s="39">
        <f>'Cost Schedule'!C56</f>
        <v>416.27249999999998</v>
      </c>
      <c r="H20" s="72"/>
      <c r="I20" s="40">
        <f>IF(H20="",G20,H20)</f>
        <v>416.27249999999998</v>
      </c>
      <c r="J20" s="263" t="s">
        <v>148</v>
      </c>
      <c r="K20" s="42">
        <f>I20*C20</f>
        <v>0</v>
      </c>
      <c r="L20" s="73"/>
    </row>
    <row r="21" spans="2:12">
      <c r="C21" s="338"/>
      <c r="L21" s="70"/>
    </row>
    <row r="22" spans="2:12" ht="13">
      <c r="B22" s="256" t="s">
        <v>83</v>
      </c>
      <c r="C22" s="100">
        <f>SUM(C18:C21)</f>
        <v>0</v>
      </c>
      <c r="D22" s="244" t="s">
        <v>147</v>
      </c>
      <c r="H22" s="270" t="s">
        <v>149</v>
      </c>
      <c r="I22" s="40">
        <f>IF(C22=0,0,K22/C22)</f>
        <v>0</v>
      </c>
      <c r="J22" s="271" t="s">
        <v>532</v>
      </c>
      <c r="K22" s="101">
        <f>SUM(K18:K21)</f>
        <v>0</v>
      </c>
      <c r="L22" s="73"/>
    </row>
    <row r="23" spans="2:12" ht="13">
      <c r="B23" s="265"/>
      <c r="C23" s="265"/>
      <c r="D23" s="265"/>
      <c r="G23" s="265"/>
      <c r="H23" s="265"/>
      <c r="I23" s="265"/>
      <c r="J23" s="265"/>
      <c r="K23" s="265"/>
      <c r="L23" s="70"/>
    </row>
    <row r="24" spans="2:12" ht="13">
      <c r="B24" s="222" t="s">
        <v>151</v>
      </c>
      <c r="C24" s="222"/>
      <c r="D24" s="222"/>
      <c r="E24" s="222"/>
      <c r="F24" s="222"/>
      <c r="G24" s="222"/>
      <c r="H24" s="222"/>
      <c r="I24" s="222"/>
      <c r="J24" s="222"/>
      <c r="K24" s="222"/>
      <c r="L24" s="222"/>
    </row>
    <row r="25" spans="2:12" s="263" customFormat="1" ht="27.75" customHeight="1">
      <c r="B25" s="272" t="s">
        <v>141</v>
      </c>
      <c r="C25" s="273" t="s">
        <v>142</v>
      </c>
      <c r="D25" s="273" t="s">
        <v>82</v>
      </c>
      <c r="E25" s="269" t="s">
        <v>152</v>
      </c>
      <c r="G25" s="275" t="s">
        <v>81</v>
      </c>
      <c r="H25" s="275" t="s">
        <v>143</v>
      </c>
      <c r="I25" s="275" t="s">
        <v>144</v>
      </c>
      <c r="J25" s="275" t="s">
        <v>145</v>
      </c>
      <c r="K25" s="275" t="s">
        <v>146</v>
      </c>
      <c r="L25" s="45" t="s">
        <v>153</v>
      </c>
    </row>
    <row r="26" spans="2:12" s="263" customFormat="1" ht="13">
      <c r="B26" s="38" t="s">
        <v>154</v>
      </c>
      <c r="C26" s="67"/>
      <c r="D26" s="263" t="s">
        <v>155</v>
      </c>
      <c r="E26" s="74" t="s">
        <v>156</v>
      </c>
      <c r="F26" s="276"/>
      <c r="G26" s="39">
        <f>_xlfn.XLOOKUP(E26,'Cost Schedule'!$B$59:$B$100,'Cost Schedule'!$C$59:$C$100)</f>
        <v>3263.448675089659</v>
      </c>
      <c r="H26" s="72"/>
      <c r="I26" s="40">
        <f t="shared" ref="I26:I38" si="0">IF(H26="",G26,H26)</f>
        <v>3263.448675089659</v>
      </c>
      <c r="J26" s="263" t="s">
        <v>155</v>
      </c>
      <c r="K26" s="46">
        <f t="shared" ref="K26:K34" si="1">I26*C26</f>
        <v>0</v>
      </c>
      <c r="L26" s="73"/>
    </row>
    <row r="27" spans="2:12" s="263" customFormat="1" ht="13">
      <c r="B27" s="38" t="s">
        <v>154</v>
      </c>
      <c r="C27" s="67"/>
      <c r="D27" s="263" t="s">
        <v>155</v>
      </c>
      <c r="E27" s="74" t="s">
        <v>157</v>
      </c>
      <c r="F27" s="276"/>
      <c r="G27" s="39">
        <f>_xlfn.XLOOKUP(E27,'Cost Schedule'!$B$59:$B$100,'Cost Schedule'!$C$59:$C$100)</f>
        <v>3263.448675089659</v>
      </c>
      <c r="H27" s="72"/>
      <c r="I27" s="40">
        <f t="shared" ref="I27" si="2">IF(H27="",G27,H27)</f>
        <v>3263.448675089659</v>
      </c>
      <c r="J27" s="263" t="s">
        <v>155</v>
      </c>
      <c r="K27" s="46">
        <f t="shared" ref="K27" si="3">I27*C27</f>
        <v>0</v>
      </c>
      <c r="L27" s="73"/>
    </row>
    <row r="28" spans="2:12" s="263" customFormat="1" ht="13">
      <c r="B28" s="38" t="s">
        <v>158</v>
      </c>
      <c r="C28" s="67"/>
      <c r="D28" s="263" t="s">
        <v>155</v>
      </c>
      <c r="E28" s="74" t="s">
        <v>159</v>
      </c>
      <c r="F28" s="276"/>
      <c r="G28" s="39">
        <f>_xlfn.XLOOKUP(E28,'Cost Schedule'!$B$62:$B$78,'Cost Schedule'!$C$62:$C$78)</f>
        <v>3451.6632667463637</v>
      </c>
      <c r="H28" s="72"/>
      <c r="I28" s="40">
        <f t="shared" si="0"/>
        <v>3451.6632667463637</v>
      </c>
      <c r="J28" s="263" t="s">
        <v>155</v>
      </c>
      <c r="K28" s="46">
        <f t="shared" si="1"/>
        <v>0</v>
      </c>
      <c r="L28" s="73"/>
    </row>
    <row r="29" spans="2:12" s="263" customFormat="1" ht="13">
      <c r="B29" s="38" t="s">
        <v>158</v>
      </c>
      <c r="C29" s="67"/>
      <c r="D29" s="263" t="s">
        <v>155</v>
      </c>
      <c r="E29" s="74" t="s">
        <v>159</v>
      </c>
      <c r="F29" s="276"/>
      <c r="G29" s="39">
        <f>_xlfn.XLOOKUP(E29,'Cost Schedule'!$B$62:$B$78,'Cost Schedule'!$C$62:$C$78)</f>
        <v>3451.6632667463637</v>
      </c>
      <c r="H29" s="72"/>
      <c r="I29" s="40">
        <f t="shared" ref="I29" si="4">IF(H29="",G29,H29)</f>
        <v>3451.6632667463637</v>
      </c>
      <c r="J29" s="263" t="s">
        <v>155</v>
      </c>
      <c r="K29" s="46">
        <f t="shared" ref="K29" si="5">I29*C29</f>
        <v>0</v>
      </c>
      <c r="L29" s="73"/>
    </row>
    <row r="30" spans="2:12" s="263" customFormat="1" ht="13">
      <c r="B30" s="38" t="s">
        <v>160</v>
      </c>
      <c r="C30" s="67"/>
      <c r="D30" s="263" t="s">
        <v>155</v>
      </c>
      <c r="E30" s="74" t="s">
        <v>161</v>
      </c>
      <c r="F30" s="276"/>
      <c r="G30" s="39">
        <f>_xlfn.XLOOKUP(E30,'Cost Schedule'!$B$62:$B$78,'Cost Schedule'!$C$62:$C$78)</f>
        <v>3624.2464300836818</v>
      </c>
      <c r="H30" s="72"/>
      <c r="I30" s="40">
        <f t="shared" si="0"/>
        <v>3624.2464300836818</v>
      </c>
      <c r="J30" s="263" t="s">
        <v>155</v>
      </c>
      <c r="K30" s="46">
        <f t="shared" si="1"/>
        <v>0</v>
      </c>
      <c r="L30" s="73"/>
    </row>
    <row r="31" spans="2:12" s="263" customFormat="1" ht="13">
      <c r="B31" s="38" t="s">
        <v>160</v>
      </c>
      <c r="C31" s="67"/>
      <c r="D31" s="263" t="s">
        <v>155</v>
      </c>
      <c r="E31" s="74" t="s">
        <v>162</v>
      </c>
      <c r="F31" s="276"/>
      <c r="G31" s="39">
        <f>_xlfn.XLOOKUP(E31,'Cost Schedule'!$B$62:$B$78,'Cost Schedule'!$C$62:$C$78)</f>
        <v>3796.8295934210005</v>
      </c>
      <c r="H31" s="72"/>
      <c r="I31" s="40">
        <f t="shared" ref="I31" si="6">IF(H31="",G31,H31)</f>
        <v>3796.8295934210005</v>
      </c>
      <c r="J31" s="263" t="s">
        <v>155</v>
      </c>
      <c r="K31" s="46">
        <f t="shared" ref="K31" si="7">I31*C31</f>
        <v>0</v>
      </c>
      <c r="L31" s="73"/>
    </row>
    <row r="32" spans="2:12" s="263" customFormat="1" ht="13">
      <c r="B32" s="38" t="s">
        <v>163</v>
      </c>
      <c r="C32" s="67"/>
      <c r="D32" s="263" t="s">
        <v>155</v>
      </c>
      <c r="E32" s="74" t="s">
        <v>164</v>
      </c>
      <c r="F32" s="276"/>
      <c r="G32" s="39">
        <f>_xlfn.XLOOKUP(E32,'Cost Schedule'!$B$96:$B$97,'Cost Schedule'!$C$96:$C$97)</f>
        <v>810.33265334927273</v>
      </c>
      <c r="H32" s="72"/>
      <c r="I32" s="40">
        <f t="shared" si="0"/>
        <v>810.33265334927273</v>
      </c>
      <c r="J32" s="263" t="s">
        <v>155</v>
      </c>
      <c r="K32" s="46">
        <f t="shared" si="1"/>
        <v>0</v>
      </c>
      <c r="L32" s="73"/>
    </row>
    <row r="33" spans="2:12" s="263" customFormat="1" ht="13">
      <c r="B33" s="38" t="s">
        <v>163</v>
      </c>
      <c r="C33" s="67"/>
      <c r="D33" s="263" t="s">
        <v>155</v>
      </c>
      <c r="E33" s="74" t="s">
        <v>165</v>
      </c>
      <c r="F33" s="276"/>
      <c r="G33" s="39">
        <f>_xlfn.XLOOKUP(E33,'Cost Schedule'!$B$59:$B$100,'Cost Schedule'!$C$59:$C$100)</f>
        <v>3646.4969400717273</v>
      </c>
      <c r="H33" s="72"/>
      <c r="I33" s="40">
        <f t="shared" si="0"/>
        <v>3646.4969400717273</v>
      </c>
      <c r="J33" s="263" t="s">
        <v>155</v>
      </c>
      <c r="K33" s="46">
        <f t="shared" si="1"/>
        <v>0</v>
      </c>
      <c r="L33" s="73"/>
    </row>
    <row r="34" spans="2:12" s="263" customFormat="1" ht="13">
      <c r="B34" s="38" t="s">
        <v>166</v>
      </c>
      <c r="C34" s="67"/>
      <c r="D34" s="263" t="s">
        <v>155</v>
      </c>
      <c r="E34" s="74" t="s">
        <v>167</v>
      </c>
      <c r="F34" s="276"/>
      <c r="G34" s="39">
        <f>'Cost Schedule'!C98</f>
        <v>299.34486750896593</v>
      </c>
      <c r="H34" s="72"/>
      <c r="I34" s="40">
        <f t="shared" si="0"/>
        <v>299.34486750896593</v>
      </c>
      <c r="J34" s="263" t="s">
        <v>155</v>
      </c>
      <c r="K34" s="46">
        <f t="shared" si="1"/>
        <v>0</v>
      </c>
      <c r="L34" s="73"/>
    </row>
    <row r="35" spans="2:12" s="263" customFormat="1" ht="13">
      <c r="B35" s="38" t="s">
        <v>168</v>
      </c>
      <c r="C35" s="47">
        <f>(_xlfn.XLOOKUP(E26,Assumptions!$B$35:$B$37,Assumptions!$E$35:$E$37)*C26+_xlfn.XLOOKUP(E27,Assumptions!$B$35:$B$37,Assumptions!$E$35:$E$37)*C27)*_xlfn.XLOOKUP(E35,Copper_cables_haul_unload_names_UR,Cable_drums_haul_unload_distance_avg)</f>
        <v>0</v>
      </c>
      <c r="D35" s="263" t="s">
        <v>169</v>
      </c>
      <c r="E35" s="74" t="s">
        <v>533</v>
      </c>
      <c r="F35" s="276"/>
      <c r="G35" s="48">
        <f>_xlfn.XLOOKUP(E35, Copper_cables_haul_unload_names_UR,Copper_cables_haul_unload_rates_UR)</f>
        <v>3.599977572728438</v>
      </c>
      <c r="H35" s="72"/>
      <c r="I35" s="49">
        <f t="shared" si="0"/>
        <v>3.599977572728438</v>
      </c>
      <c r="J35" s="263" t="s">
        <v>169</v>
      </c>
      <c r="K35" s="50">
        <f>I35*C35</f>
        <v>0</v>
      </c>
      <c r="L35" s="73"/>
    </row>
    <row r="36" spans="2:12" s="263" customFormat="1" ht="13">
      <c r="B36" s="38" t="s">
        <v>171</v>
      </c>
      <c r="C36" s="47">
        <f>(C28/_xlfn.XLOOKUP(E28,Electrical_cables_names_Ass,Electrical_cables_km_per_drum_Ass)+C29/_xlfn.XLOOKUP(E29,Electrical_cables_names_Ass,Electrical_cables_km_per_drum_Ass)+C30/_xlfn.XLOOKUP(E30,Electrical_cables_names_Ass,Electrical_cables_km_per_drum_Ass)+C31/_xlfn.XLOOKUP(E31,Electrical_cables_names_Ass,Electrical_cables_km_per_drum_Ass))*_xlfn.XLOOKUP(E36,Cable_drums_haul_unload_names_UR,Cable_drums_haul_unload_distance_avg)</f>
        <v>0</v>
      </c>
      <c r="D36" s="263" t="s">
        <v>172</v>
      </c>
      <c r="E36" s="74" t="s">
        <v>534</v>
      </c>
      <c r="F36" s="276"/>
      <c r="G36" s="48">
        <f>_xlfn.XLOOKUP(E36, Cable_drums_haul_unload_names_UR,Cable_drums_haul_unload_rates_UR)</f>
        <v>7.7374086889657834</v>
      </c>
      <c r="H36" s="72"/>
      <c r="I36" s="49">
        <f t="shared" si="0"/>
        <v>7.7374086889657834</v>
      </c>
      <c r="J36" s="263" t="s">
        <v>172</v>
      </c>
      <c r="K36" s="50">
        <f>I36*C36</f>
        <v>0</v>
      </c>
      <c r="L36" s="73"/>
    </row>
    <row r="37" spans="2:12" s="263" customFormat="1" ht="13">
      <c r="B37" s="38" t="s">
        <v>174</v>
      </c>
      <c r="C37" s="47">
        <f>((C32/_xlfn.XLOOKUP(E32,Electrical_cables_names_Ass,Electrical_cables_km_per_drum_Ass)+C33/_xlfn.XLOOKUP(E33,Electrical_cables_names_Ass,Electrical_cables_km_per_drum_Ass))*_xlfn.XLOOKUP(E37,Cable_drums_haul_unload_names_UR,Cable_drums_haul_unload_distance_avg))</f>
        <v>0</v>
      </c>
      <c r="D37" s="263" t="s">
        <v>172</v>
      </c>
      <c r="E37" s="74" t="s">
        <v>173</v>
      </c>
      <c r="F37" s="276"/>
      <c r="G37" s="48">
        <f>_xlfn.XLOOKUP(E37, Cable_drums_haul_unload_names_UR,Cable_drums_haul_unload_rates_UR)</f>
        <v>7.7374086889657834</v>
      </c>
      <c r="H37" s="72"/>
      <c r="I37" s="49">
        <f t="shared" si="0"/>
        <v>7.7374086889657834</v>
      </c>
      <c r="J37" s="263" t="s">
        <v>172</v>
      </c>
      <c r="K37" s="50">
        <f>I37*C37</f>
        <v>0</v>
      </c>
      <c r="L37" s="73"/>
    </row>
    <row r="38" spans="2:12" s="263" customFormat="1" ht="13">
      <c r="B38" s="38" t="s">
        <v>175</v>
      </c>
      <c r="C38" s="47">
        <f>C34/_xlfn.XLOOKUP(E34,Electrical_cables_names_Ass,Electrical_cables_km_per_drum_Ass)*_xlfn.XLOOKUP(E38,Cable_drums_haul_unload_names_UR,Cable_drums_haul_unload_distance_avg)</f>
        <v>0</v>
      </c>
      <c r="D38" s="263" t="s">
        <v>172</v>
      </c>
      <c r="E38" s="74" t="s">
        <v>173</v>
      </c>
      <c r="F38" s="276"/>
      <c r="G38" s="48">
        <f>_xlfn.XLOOKUP(E38, Cable_drums_haul_unload_names_UR,Cable_drums_haul_unload_rates_UR)</f>
        <v>7.7374086889657834</v>
      </c>
      <c r="H38" s="72"/>
      <c r="I38" s="49">
        <f t="shared" si="0"/>
        <v>7.7374086889657834</v>
      </c>
      <c r="J38" s="263" t="s">
        <v>172</v>
      </c>
      <c r="K38" s="46">
        <f>I38*C38</f>
        <v>0</v>
      </c>
      <c r="L38" s="73"/>
    </row>
    <row r="39" spans="2:12" s="263" customFormat="1">
      <c r="C39" s="339"/>
      <c r="I39" s="278"/>
      <c r="L39" s="70"/>
    </row>
    <row r="40" spans="2:12" s="263" customFormat="1" ht="13">
      <c r="B40" s="256" t="str">
        <f>B$22</f>
        <v>Totals</v>
      </c>
      <c r="C40" s="320">
        <f>SUM(C25:C34)</f>
        <v>0</v>
      </c>
      <c r="D40" s="263" t="s">
        <v>155</v>
      </c>
      <c r="H40" s="280" t="s">
        <v>176</v>
      </c>
      <c r="I40" s="51">
        <f>IF(C40=0,0,K40/C40)</f>
        <v>0</v>
      </c>
      <c r="J40" s="281" t="s">
        <v>433</v>
      </c>
      <c r="K40" s="102">
        <f>SUM(K25:K39)</f>
        <v>0</v>
      </c>
      <c r="L40" s="73"/>
    </row>
    <row r="41" spans="2:12" s="263" customFormat="1">
      <c r="L41" s="70"/>
    </row>
    <row r="42" spans="2:12" ht="13">
      <c r="B42" s="222" t="s">
        <v>178</v>
      </c>
      <c r="C42" s="222"/>
      <c r="D42" s="222"/>
      <c r="E42" s="222"/>
      <c r="F42" s="222"/>
      <c r="G42" s="222"/>
      <c r="H42" s="222"/>
      <c r="I42" s="222"/>
      <c r="J42" s="222"/>
      <c r="K42" s="222"/>
      <c r="L42" s="222"/>
    </row>
    <row r="43" spans="2:12" s="263" customFormat="1" ht="22.5" customHeight="1">
      <c r="B43" s="272" t="s">
        <v>141</v>
      </c>
      <c r="C43" s="273" t="s">
        <v>142</v>
      </c>
      <c r="D43" s="273" t="s">
        <v>82</v>
      </c>
      <c r="E43" s="276"/>
      <c r="F43" s="276"/>
      <c r="G43" s="275" t="s">
        <v>81</v>
      </c>
      <c r="H43" s="275" t="s">
        <v>143</v>
      </c>
      <c r="I43" s="275" t="s">
        <v>144</v>
      </c>
      <c r="J43" s="275" t="s">
        <v>145</v>
      </c>
      <c r="K43" s="275" t="s">
        <v>146</v>
      </c>
      <c r="L43" s="70"/>
    </row>
    <row r="44" spans="2:12" s="263" customFormat="1" ht="13">
      <c r="B44" s="38" t="s">
        <v>179</v>
      </c>
      <c r="C44" s="67"/>
      <c r="D44" s="244" t="s">
        <v>155</v>
      </c>
      <c r="G44" s="53">
        <f>'Cost Schedule'!C390</f>
        <v>27748.513586103494</v>
      </c>
      <c r="H44" s="72"/>
      <c r="I44" s="40">
        <f>IF(H44="",G44,H44)</f>
        <v>27748.513586103494</v>
      </c>
      <c r="J44" s="244" t="s">
        <v>155</v>
      </c>
      <c r="K44" s="46">
        <f>I44*C44</f>
        <v>0</v>
      </c>
      <c r="L44" s="73"/>
    </row>
    <row r="45" spans="2:12" s="263" customFormat="1">
      <c r="C45" s="339"/>
      <c r="L45" s="70"/>
    </row>
    <row r="46" spans="2:12" s="263" customFormat="1" ht="13">
      <c r="B46" s="256" t="str">
        <f>B$22</f>
        <v>Totals</v>
      </c>
      <c r="C46" s="103">
        <f>SUM(C43:C45)</f>
        <v>0</v>
      </c>
      <c r="D46" s="244" t="s">
        <v>155</v>
      </c>
      <c r="G46" s="244"/>
      <c r="H46" s="270" t="s">
        <v>180</v>
      </c>
      <c r="I46" s="40">
        <f>IF(C46=0,0,K46/C46)</f>
        <v>0</v>
      </c>
      <c r="J46" s="271" t="s">
        <v>177</v>
      </c>
      <c r="K46" s="44">
        <f>SUM(K43:K45)</f>
        <v>0</v>
      </c>
      <c r="L46" s="73"/>
    </row>
    <row r="47" spans="2:12" s="263" customFormat="1">
      <c r="L47" s="70"/>
    </row>
    <row r="48" spans="2:12" ht="13">
      <c r="B48" s="222" t="s">
        <v>191</v>
      </c>
      <c r="C48" s="222"/>
      <c r="D48" s="222"/>
      <c r="E48" s="222"/>
      <c r="F48" s="222"/>
      <c r="G48" s="222"/>
      <c r="H48" s="222"/>
      <c r="I48" s="222"/>
      <c r="J48" s="222"/>
      <c r="K48" s="222"/>
      <c r="L48" s="222"/>
    </row>
    <row r="49" spans="2:12" ht="13">
      <c r="B49" s="266" t="s">
        <v>141</v>
      </c>
      <c r="C49" s="267" t="s">
        <v>142</v>
      </c>
      <c r="D49" s="267" t="s">
        <v>82</v>
      </c>
      <c r="E49" s="269" t="s">
        <v>152</v>
      </c>
      <c r="F49" s="269"/>
      <c r="G49" s="268" t="s">
        <v>81</v>
      </c>
      <c r="H49" s="268" t="s">
        <v>143</v>
      </c>
      <c r="I49" s="268" t="s">
        <v>144</v>
      </c>
      <c r="J49" s="268" t="s">
        <v>145</v>
      </c>
      <c r="K49" s="268" t="s">
        <v>146</v>
      </c>
      <c r="L49" s="70"/>
    </row>
    <row r="50" spans="2:12" ht="13">
      <c r="B50" s="38" t="s">
        <v>192</v>
      </c>
      <c r="C50" s="69"/>
      <c r="D50" s="244" t="s">
        <v>195</v>
      </c>
      <c r="E50" s="74" t="s">
        <v>194</v>
      </c>
      <c r="F50" s="269"/>
      <c r="G50" s="53">
        <f>_xlfn.XLOOKUP(E50,Substation_sizes_UR,Substation_rates_UR)</f>
        <v>53521.3374886819</v>
      </c>
      <c r="H50" s="72"/>
      <c r="I50" s="40">
        <f>IF(H50="",G50,H50)</f>
        <v>53521.3374886819</v>
      </c>
      <c r="J50" s="244" t="s">
        <v>195</v>
      </c>
      <c r="K50" s="46">
        <f>I50*C50</f>
        <v>0</v>
      </c>
      <c r="L50" s="73"/>
    </row>
    <row r="51" spans="2:12" ht="13">
      <c r="B51" s="265"/>
      <c r="C51" s="340"/>
      <c r="D51" s="265"/>
      <c r="F51" s="269"/>
      <c r="G51" s="265"/>
      <c r="H51" s="265"/>
      <c r="I51" s="282"/>
      <c r="J51" s="265"/>
      <c r="K51" s="265"/>
      <c r="L51" s="70"/>
    </row>
    <row r="52" spans="2:12" ht="13">
      <c r="B52" s="256" t="str">
        <f>B$22</f>
        <v>Totals</v>
      </c>
      <c r="C52" s="100">
        <f>SUM(C49:C51)</f>
        <v>0</v>
      </c>
      <c r="D52" s="244" t="s">
        <v>193</v>
      </c>
      <c r="H52" s="270" t="s">
        <v>196</v>
      </c>
      <c r="I52" s="40">
        <f>IF(C52=0,0,K52/C52)</f>
        <v>0</v>
      </c>
      <c r="J52" s="271" t="s">
        <v>197</v>
      </c>
      <c r="K52" s="101">
        <f>SUM(K49:K51)</f>
        <v>0</v>
      </c>
      <c r="L52" s="73"/>
    </row>
    <row r="53" spans="2:12" ht="13">
      <c r="B53" s="265"/>
      <c r="C53" s="341"/>
      <c r="D53" s="265"/>
      <c r="G53" s="265"/>
      <c r="H53" s="265"/>
      <c r="I53" s="265"/>
      <c r="J53" s="265"/>
      <c r="K53" s="265"/>
      <c r="L53" s="70"/>
    </row>
    <row r="54" spans="2:12" ht="13">
      <c r="B54" s="222" t="s">
        <v>535</v>
      </c>
      <c r="C54" s="222"/>
      <c r="D54" s="222"/>
      <c r="E54" s="222"/>
      <c r="F54" s="222"/>
      <c r="G54" s="222"/>
      <c r="H54" s="222"/>
      <c r="I54" s="222"/>
      <c r="J54" s="222"/>
      <c r="K54" s="222"/>
      <c r="L54" s="222"/>
    </row>
    <row r="55" spans="2:12" ht="13">
      <c r="B55" s="266" t="s">
        <v>141</v>
      </c>
      <c r="C55" s="267" t="s">
        <v>142</v>
      </c>
      <c r="D55" s="267" t="s">
        <v>82</v>
      </c>
      <c r="G55" s="268" t="s">
        <v>81</v>
      </c>
      <c r="H55" s="268" t="s">
        <v>143</v>
      </c>
      <c r="I55" s="268" t="s">
        <v>144</v>
      </c>
      <c r="J55" s="268" t="s">
        <v>145</v>
      </c>
      <c r="K55" s="268" t="s">
        <v>146</v>
      </c>
      <c r="L55" s="70"/>
    </row>
    <row r="56" spans="2:12" ht="13">
      <c r="B56" s="104" t="str">
        <f>'Cost Schedule'!B21</f>
        <v>Remove and dispose of liquids</v>
      </c>
      <c r="C56" s="67"/>
      <c r="D56" s="244" t="s">
        <v>536</v>
      </c>
      <c r="G56" s="209">
        <f>'Cost Schedule'!C21</f>
        <v>275.83448675089659</v>
      </c>
      <c r="H56" s="72"/>
      <c r="I56" s="49">
        <f t="shared" ref="I56" si="8">IF(H56="",G56,H56)</f>
        <v>275.83448675089659</v>
      </c>
      <c r="J56" s="244" t="s">
        <v>445</v>
      </c>
      <c r="K56" s="46">
        <f t="shared" ref="K56" si="9">C56*I56</f>
        <v>0</v>
      </c>
      <c r="L56" s="73"/>
    </row>
    <row r="57" spans="2:12" ht="13">
      <c r="B57" s="38" t="s">
        <v>199</v>
      </c>
      <c r="C57" s="69"/>
      <c r="D57" s="244" t="s">
        <v>201</v>
      </c>
      <c r="E57" s="269"/>
      <c r="F57" s="269"/>
      <c r="G57" s="39">
        <f>'Cost Schedule'!C26</f>
        <v>2832.9667608686314</v>
      </c>
      <c r="H57" s="72"/>
      <c r="I57" s="40">
        <f>IF(H57="",G57,H57)</f>
        <v>2832.9667608686314</v>
      </c>
      <c r="J57" s="244" t="s">
        <v>201</v>
      </c>
      <c r="K57" s="46">
        <f>I57*C57</f>
        <v>0</v>
      </c>
      <c r="L57" s="70"/>
    </row>
    <row r="58" spans="2:12" ht="13">
      <c r="B58" s="38" t="s">
        <v>538</v>
      </c>
      <c r="C58" s="69"/>
      <c r="D58" s="244" t="s">
        <v>201</v>
      </c>
      <c r="E58" s="269"/>
      <c r="F58" s="269"/>
      <c r="G58" s="39">
        <f>'Cost Schedule'!C27</f>
        <v>3564.9167608686321</v>
      </c>
      <c r="H58" s="72"/>
      <c r="I58" s="40">
        <f>IF(H58="",G58,H58)</f>
        <v>3564.9167608686321</v>
      </c>
      <c r="J58" s="244" t="s">
        <v>201</v>
      </c>
      <c r="K58" s="46">
        <f>I58*C58</f>
        <v>0</v>
      </c>
      <c r="L58" s="73"/>
    </row>
    <row r="59" spans="2:12" ht="13">
      <c r="B59" s="104" t="s">
        <v>539</v>
      </c>
      <c r="C59" s="342">
        <f>_xlfn.XLOOKUP(E59,Long_haul_names_modules_UR,Load_haul_dump_modules_distance_avg)*(C57+C58)</f>
        <v>0</v>
      </c>
      <c r="D59" s="244" t="s">
        <v>540</v>
      </c>
      <c r="E59" s="76" t="s">
        <v>1371</v>
      </c>
      <c r="G59" s="48">
        <f>_xlfn.XLOOKUP(E59,Long_haul_names_modules_UR,Long_haul_rates_modules_UR)</f>
        <v>35.838029329378806</v>
      </c>
      <c r="H59" s="72"/>
      <c r="I59" s="49">
        <f t="shared" ref="I59:I61" si="10">IF(H59="",G59,H59)</f>
        <v>35.838029329378806</v>
      </c>
      <c r="J59" s="244" t="s">
        <v>540</v>
      </c>
      <c r="K59" s="46">
        <f>C59*I59</f>
        <v>0</v>
      </c>
      <c r="L59" s="70"/>
    </row>
    <row r="60" spans="2:12" ht="13">
      <c r="B60" s="104" t="s">
        <v>543</v>
      </c>
      <c r="C60" s="342">
        <f>C57+C58</f>
        <v>0</v>
      </c>
      <c r="D60" s="244" t="s">
        <v>201</v>
      </c>
      <c r="G60" s="48">
        <f>'Cost Schedule'!C24</f>
        <v>3850.6916570549797</v>
      </c>
      <c r="H60" s="72"/>
      <c r="I60" s="49">
        <f t="shared" si="10"/>
        <v>3850.6916570549797</v>
      </c>
      <c r="J60" s="244" t="s">
        <v>201</v>
      </c>
      <c r="K60" s="46">
        <f t="shared" ref="K60:K61" si="11">C60*I60</f>
        <v>0</v>
      </c>
      <c r="L60" s="73"/>
    </row>
    <row r="61" spans="2:12" ht="13">
      <c r="B61" s="104" t="s">
        <v>544</v>
      </c>
      <c r="C61" s="342">
        <f>C57+C58</f>
        <v>0</v>
      </c>
      <c r="D61" s="244" t="s">
        <v>201</v>
      </c>
      <c r="G61" s="48">
        <f>'Cost Schedule'!C25</f>
        <v>1472.4149313572434</v>
      </c>
      <c r="H61" s="72"/>
      <c r="I61" s="40">
        <f t="shared" si="10"/>
        <v>1472.4149313572434</v>
      </c>
      <c r="J61" s="244" t="s">
        <v>201</v>
      </c>
      <c r="K61" s="46">
        <f t="shared" si="11"/>
        <v>0</v>
      </c>
      <c r="L61" s="70"/>
    </row>
    <row r="62" spans="2:12">
      <c r="C62" s="338"/>
      <c r="I62" s="287"/>
      <c r="L62" s="70"/>
    </row>
    <row r="63" spans="2:12" ht="13">
      <c r="B63" s="256" t="str">
        <f>B$22</f>
        <v>Totals</v>
      </c>
      <c r="C63" s="342">
        <f>C57+C58</f>
        <v>0</v>
      </c>
      <c r="D63" s="244" t="s">
        <v>200</v>
      </c>
      <c r="H63" s="270" t="s">
        <v>545</v>
      </c>
      <c r="I63" s="40">
        <f>IF(C63=0,0,K63/C63)</f>
        <v>0</v>
      </c>
      <c r="J63" s="271" t="s">
        <v>204</v>
      </c>
      <c r="K63" s="101">
        <f>SUM(K55:K62)</f>
        <v>0</v>
      </c>
      <c r="L63" s="73"/>
    </row>
    <row r="64" spans="2:12">
      <c r="C64" s="289"/>
      <c r="L64" s="70"/>
    </row>
    <row r="65" spans="2:12" ht="13">
      <c r="B65" s="222" t="s">
        <v>546</v>
      </c>
      <c r="C65" s="222"/>
      <c r="D65" s="222"/>
      <c r="E65" s="222"/>
      <c r="F65" s="222"/>
      <c r="G65" s="222"/>
      <c r="H65" s="222"/>
      <c r="I65" s="222"/>
      <c r="J65" s="222"/>
      <c r="K65" s="222"/>
      <c r="L65" s="222"/>
    </row>
    <row r="66" spans="2:12" ht="13">
      <c r="B66" s="266" t="s">
        <v>141</v>
      </c>
      <c r="C66" s="267" t="s">
        <v>142</v>
      </c>
      <c r="D66" s="267" t="s">
        <v>82</v>
      </c>
      <c r="E66" s="269" t="s">
        <v>152</v>
      </c>
      <c r="F66" s="269"/>
      <c r="G66" s="268" t="s">
        <v>81</v>
      </c>
      <c r="H66" s="268" t="s">
        <v>143</v>
      </c>
      <c r="I66" s="268" t="s">
        <v>144</v>
      </c>
      <c r="J66" s="268" t="s">
        <v>145</v>
      </c>
      <c r="K66" s="268" t="s">
        <v>146</v>
      </c>
      <c r="L66" s="70"/>
    </row>
    <row r="67" spans="2:12" ht="13">
      <c r="B67" s="104" t="str">
        <f>'Cost Schedule'!B21</f>
        <v>Remove and dispose of liquids</v>
      </c>
      <c r="C67" s="67"/>
      <c r="D67" s="244" t="s">
        <v>536</v>
      </c>
      <c r="G67" s="48">
        <f>'Cost Schedule'!C21</f>
        <v>275.83448675089659</v>
      </c>
      <c r="H67" s="72"/>
      <c r="I67" s="49">
        <f t="shared" ref="I67:I71" si="12">IF(H67="",G67,H67)</f>
        <v>275.83448675089659</v>
      </c>
      <c r="J67" s="244" t="s">
        <v>537</v>
      </c>
      <c r="K67" s="46">
        <f t="shared" ref="K67:K71" si="13">C67*I67</f>
        <v>0</v>
      </c>
      <c r="L67" s="73"/>
    </row>
    <row r="68" spans="2:12" ht="13">
      <c r="B68" s="104" t="s">
        <v>547</v>
      </c>
      <c r="C68" s="284">
        <f>C$15</f>
        <v>0</v>
      </c>
      <c r="D68" s="244" t="s">
        <v>537</v>
      </c>
      <c r="E68" s="343" t="str">
        <f>C$14</f>
        <v>Select make and model</v>
      </c>
      <c r="G68" s="48">
        <f>'Cost Schedule'!C22</f>
        <v>4385.1794700358641</v>
      </c>
      <c r="H68" s="72"/>
      <c r="I68" s="49">
        <f t="shared" si="12"/>
        <v>4385.1794700358641</v>
      </c>
      <c r="J68" s="244" t="s">
        <v>537</v>
      </c>
      <c r="K68" s="46">
        <f t="shared" si="13"/>
        <v>0</v>
      </c>
      <c r="L68" s="73"/>
    </row>
    <row r="69" spans="2:12" ht="13">
      <c r="B69" s="104" t="s">
        <v>539</v>
      </c>
      <c r="C69" s="342">
        <f>_xlfn.XLOOKUP(E69,Long_haul_names_modules_UR,Load_haul_dump_modules_distance_avg)*C$15</f>
        <v>0</v>
      </c>
      <c r="D69" s="244" t="s">
        <v>542</v>
      </c>
      <c r="E69" s="76" t="s">
        <v>564</v>
      </c>
      <c r="G69" s="48">
        <f>_xlfn.XLOOKUP(E69,Long_haul_names_modules_UR,Long_haul_rates_modules_UR)</f>
        <v>153.57208765859284</v>
      </c>
      <c r="H69" s="72"/>
      <c r="I69" s="49">
        <f t="shared" si="12"/>
        <v>153.57208765859284</v>
      </c>
      <c r="J69" s="244" t="s">
        <v>542</v>
      </c>
      <c r="K69" s="46">
        <f>C69*I69</f>
        <v>0</v>
      </c>
      <c r="L69" s="70"/>
    </row>
    <row r="70" spans="2:12" ht="13">
      <c r="B70" s="104" t="s">
        <v>543</v>
      </c>
      <c r="C70" s="342">
        <f>C$68</f>
        <v>0</v>
      </c>
      <c r="D70" s="244" t="s">
        <v>537</v>
      </c>
      <c r="G70" s="48">
        <f>'Cost Schedule'!C24</f>
        <v>3850.6916570549797</v>
      </c>
      <c r="H70" s="72"/>
      <c r="I70" s="49">
        <f t="shared" si="12"/>
        <v>3850.6916570549797</v>
      </c>
      <c r="J70" s="244" t="s">
        <v>537</v>
      </c>
      <c r="K70" s="46">
        <f t="shared" si="13"/>
        <v>0</v>
      </c>
      <c r="L70" s="73"/>
    </row>
    <row r="71" spans="2:12" ht="13">
      <c r="B71" s="104" t="s">
        <v>544</v>
      </c>
      <c r="C71" s="342">
        <f>C$68</f>
        <v>0</v>
      </c>
      <c r="D71" s="244" t="s">
        <v>537</v>
      </c>
      <c r="G71" s="39">
        <f>'Cost Schedule'!C25</f>
        <v>1472.4149313572434</v>
      </c>
      <c r="H71" s="72"/>
      <c r="I71" s="40">
        <f t="shared" si="12"/>
        <v>1472.4149313572434</v>
      </c>
      <c r="J71" s="244" t="s">
        <v>537</v>
      </c>
      <c r="K71" s="46">
        <f t="shared" si="13"/>
        <v>0</v>
      </c>
      <c r="L71" s="70"/>
    </row>
    <row r="72" spans="2:12">
      <c r="C72" s="338"/>
      <c r="K72" s="287"/>
      <c r="L72" s="73"/>
    </row>
    <row r="73" spans="2:12" ht="13">
      <c r="B73" s="256" t="str">
        <f>B$22</f>
        <v>Totals</v>
      </c>
      <c r="C73" s="342">
        <f>C$68</f>
        <v>0</v>
      </c>
      <c r="D73" s="244" t="s">
        <v>112</v>
      </c>
      <c r="H73" s="270" t="s">
        <v>548</v>
      </c>
      <c r="I73" s="40">
        <f>IF(C73=0,0,K73/C73)</f>
        <v>0</v>
      </c>
      <c r="J73" s="271" t="s">
        <v>549</v>
      </c>
      <c r="K73" s="101">
        <f>SUM(K66:K72)</f>
        <v>0</v>
      </c>
      <c r="L73" s="70"/>
    </row>
    <row r="74" spans="2:12">
      <c r="L74" s="73"/>
    </row>
    <row r="75" spans="2:12" ht="13">
      <c r="B75" s="222" t="s">
        <v>550</v>
      </c>
      <c r="C75" s="222"/>
      <c r="D75" s="222"/>
      <c r="E75" s="222"/>
      <c r="F75" s="222"/>
      <c r="G75" s="222"/>
      <c r="H75" s="222"/>
      <c r="I75" s="222"/>
      <c r="J75" s="222"/>
      <c r="K75" s="222"/>
      <c r="L75" s="222"/>
    </row>
    <row r="76" spans="2:12" ht="13">
      <c r="B76" s="266" t="s">
        <v>141</v>
      </c>
      <c r="C76" s="267" t="s">
        <v>142</v>
      </c>
      <c r="D76" s="267" t="s">
        <v>82</v>
      </c>
      <c r="E76" s="269" t="s">
        <v>152</v>
      </c>
      <c r="F76" s="269"/>
      <c r="G76" s="268" t="s">
        <v>81</v>
      </c>
      <c r="H76" s="268" t="s">
        <v>143</v>
      </c>
      <c r="I76" s="268" t="s">
        <v>144</v>
      </c>
      <c r="J76" s="268" t="s">
        <v>145</v>
      </c>
      <c r="K76" s="268" t="s">
        <v>146</v>
      </c>
      <c r="L76" s="344" t="s">
        <v>484</v>
      </c>
    </row>
    <row r="77" spans="2:12" s="263" customFormat="1" ht="13">
      <c r="B77" s="38" t="s">
        <v>551</v>
      </c>
      <c r="C77" s="67"/>
      <c r="D77" s="263" t="s">
        <v>552</v>
      </c>
      <c r="G77" s="48">
        <f>'Cost Schedule'!C23</f>
        <v>200.88000000000002</v>
      </c>
      <c r="H77" s="72"/>
      <c r="I77" s="49">
        <f t="shared" ref="I77" si="14">IF(H77="",G77,H77)</f>
        <v>200.88000000000002</v>
      </c>
      <c r="J77" s="263" t="s">
        <v>274</v>
      </c>
      <c r="K77" s="46">
        <f t="shared" ref="K77" si="15">C77*I77</f>
        <v>0</v>
      </c>
      <c r="L77" s="345" t="s">
        <v>487</v>
      </c>
    </row>
    <row r="78" spans="2:12" s="263" customFormat="1">
      <c r="B78" s="38" t="s">
        <v>488</v>
      </c>
      <c r="C78" s="67"/>
      <c r="D78" s="263" t="s">
        <v>553</v>
      </c>
      <c r="L78" s="73"/>
    </row>
    <row r="79" spans="2:12" s="263" customFormat="1">
      <c r="B79" s="38" t="s">
        <v>488</v>
      </c>
      <c r="C79" s="66">
        <f>C78/Millimetres_in_metres</f>
        <v>0</v>
      </c>
      <c r="D79" s="263" t="s">
        <v>299</v>
      </c>
      <c r="L79" s="73"/>
    </row>
    <row r="80" spans="2:12" s="263" customFormat="1">
      <c r="B80" s="38" t="s">
        <v>554</v>
      </c>
      <c r="C80" s="306">
        <f>C77*C79</f>
        <v>0</v>
      </c>
      <c r="D80" s="263" t="s">
        <v>302</v>
      </c>
      <c r="L80" s="73"/>
    </row>
    <row r="81" spans="2:12" s="263" customFormat="1">
      <c r="B81" s="38" t="s">
        <v>555</v>
      </c>
      <c r="C81" s="306">
        <f>C80*Concrete_density</f>
        <v>0</v>
      </c>
      <c r="D81" s="263" t="s">
        <v>556</v>
      </c>
      <c r="L81" s="73"/>
    </row>
    <row r="82" spans="2:12" s="263" customFormat="1">
      <c r="B82" s="15" t="s">
        <v>331</v>
      </c>
      <c r="C82" s="66">
        <f>_xlfn.XLOOKUP(E83,Long_haul_names_concrete_UR,Load_haul_dump_rubble_distance_avg)</f>
        <v>42.5</v>
      </c>
      <c r="D82" s="263" t="s">
        <v>155</v>
      </c>
      <c r="L82" s="82"/>
    </row>
    <row r="83" spans="2:12" s="263" customFormat="1" ht="13">
      <c r="B83" s="57" t="s">
        <v>332</v>
      </c>
      <c r="C83" s="306">
        <f>C82*C81</f>
        <v>0</v>
      </c>
      <c r="D83" s="263" t="s">
        <v>169</v>
      </c>
      <c r="E83" s="77" t="s">
        <v>495</v>
      </c>
      <c r="G83" s="48">
        <f>_xlfn.XLOOKUP(E83,Long_haul_names_concrete_UR,Long_haul_rates_concrete_UR)</f>
        <v>0.70658733062141477</v>
      </c>
      <c r="H83" s="72"/>
      <c r="I83" s="49">
        <f>IF(H83="",G83,H83)</f>
        <v>0.70658733062141477</v>
      </c>
      <c r="J83" s="263" t="s">
        <v>169</v>
      </c>
      <c r="K83" s="46">
        <f>I83*C83</f>
        <v>0</v>
      </c>
      <c r="L83" s="82"/>
    </row>
    <row r="84" spans="2:12" s="263" customFormat="1" ht="13">
      <c r="B84" s="57" t="s">
        <v>334</v>
      </c>
      <c r="C84" s="306">
        <f>C81</f>
        <v>0</v>
      </c>
      <c r="D84" s="263" t="s">
        <v>318</v>
      </c>
      <c r="E84" s="300" t="str">
        <f>Disposal_gate_fee_Construction_Debris</f>
        <v>Disposal (gate fee) construction debris</v>
      </c>
      <c r="G84" s="48">
        <f>Disposal_gate_fee_Construction_Debris_rate</f>
        <v>70</v>
      </c>
      <c r="H84" s="72"/>
      <c r="I84" s="49">
        <f>IF(H84="",G84,H84)</f>
        <v>70</v>
      </c>
      <c r="J84" s="263" t="s">
        <v>318</v>
      </c>
      <c r="K84" s="46">
        <f>I84*C84</f>
        <v>0</v>
      </c>
      <c r="L84" s="82"/>
    </row>
    <row r="85" spans="2:12" s="263" customFormat="1" ht="13">
      <c r="B85" s="57" t="s">
        <v>336</v>
      </c>
      <c r="C85" s="306">
        <f>C81</f>
        <v>0</v>
      </c>
      <c r="D85" s="263" t="s">
        <v>318</v>
      </c>
      <c r="E85" s="77" t="s">
        <v>342</v>
      </c>
      <c r="G85" s="48">
        <f>_xlfn.XLOOKUP(E85,Waste_levy_names,Waste_levy_rates)</f>
        <v>85.5</v>
      </c>
      <c r="H85" s="72"/>
      <c r="I85" s="49">
        <f>IF(H85="",G85,H85)</f>
        <v>85.5</v>
      </c>
      <c r="J85" s="263" t="s">
        <v>318</v>
      </c>
      <c r="K85" s="46">
        <f>I85*C85</f>
        <v>0</v>
      </c>
      <c r="L85" s="82"/>
    </row>
    <row r="86" spans="2:12" s="263" customFormat="1">
      <c r="C86" s="339"/>
      <c r="K86" s="244"/>
      <c r="L86" s="82"/>
    </row>
    <row r="87" spans="2:12" s="263" customFormat="1" ht="13">
      <c r="B87" s="309" t="str">
        <f>B$22</f>
        <v>Totals</v>
      </c>
      <c r="C87" s="320">
        <f>C77</f>
        <v>0</v>
      </c>
      <c r="D87" s="263" t="s">
        <v>274</v>
      </c>
      <c r="H87" s="280" t="s">
        <v>500</v>
      </c>
      <c r="I87" s="51">
        <f>IF(C87=0,0,K87/C87)</f>
        <v>0</v>
      </c>
      <c r="J87" s="281" t="s">
        <v>504</v>
      </c>
      <c r="K87" s="44">
        <f>SUM(K76:K86)</f>
        <v>0</v>
      </c>
      <c r="L87" s="82"/>
    </row>
    <row r="88" spans="2:12" s="263" customFormat="1">
      <c r="L88" s="82"/>
    </row>
    <row r="89" spans="2:12" ht="13">
      <c r="B89" s="222" t="s">
        <v>212</v>
      </c>
      <c r="C89" s="222"/>
      <c r="D89" s="222"/>
      <c r="E89" s="222"/>
      <c r="F89" s="222"/>
      <c r="G89" s="222"/>
      <c r="H89" s="222"/>
      <c r="I89" s="222"/>
      <c r="J89" s="222"/>
      <c r="K89" s="222"/>
      <c r="L89" s="222"/>
    </row>
    <row r="90" spans="2:12" ht="13">
      <c r="B90" s="266" t="s">
        <v>141</v>
      </c>
      <c r="C90" s="267" t="s">
        <v>142</v>
      </c>
      <c r="D90" s="267" t="s">
        <v>82</v>
      </c>
      <c r="E90" s="269" t="s">
        <v>152</v>
      </c>
      <c r="F90" s="269"/>
      <c r="G90" s="268" t="s">
        <v>81</v>
      </c>
      <c r="H90" s="268" t="s">
        <v>143</v>
      </c>
      <c r="I90" s="268" t="s">
        <v>144</v>
      </c>
      <c r="J90" s="268" t="s">
        <v>145</v>
      </c>
      <c r="K90" s="268" t="s">
        <v>146</v>
      </c>
      <c r="L90" s="70"/>
    </row>
    <row r="91" spans="2:12" ht="13">
      <c r="B91" s="38" t="s">
        <v>213</v>
      </c>
      <c r="C91" s="67"/>
      <c r="D91" s="244" t="s">
        <v>135</v>
      </c>
      <c r="E91" s="74" t="s">
        <v>214</v>
      </c>
      <c r="F91" s="77" t="s">
        <v>215</v>
      </c>
      <c r="G91" s="39" cm="1">
        <f t="array" ref="G91">_xlfn.XLOOKUP(1,('Cost Schedule'!$B$408:$B$425=BESS!E91)*('Cost Schedule'!$A$408:$A$425=BESS!F91),'Cost Schedule'!$C$408:$C$425)</f>
        <v>1226.4586059565711</v>
      </c>
      <c r="H91" s="72"/>
      <c r="I91" s="40">
        <f t="shared" ref="I91:I108" si="16">IF(H91="",G91,H91)</f>
        <v>1226.4586059565711</v>
      </c>
      <c r="J91" s="244" t="s">
        <v>135</v>
      </c>
      <c r="K91" s="46">
        <f t="shared" ref="K91:K108" si="17">I91*C91</f>
        <v>0</v>
      </c>
      <c r="L91" s="73"/>
    </row>
    <row r="92" spans="2:12" ht="13">
      <c r="B92" s="38" t="s">
        <v>216</v>
      </c>
      <c r="C92" s="67"/>
      <c r="D92" s="244" t="s">
        <v>135</v>
      </c>
      <c r="E92" s="74" t="s">
        <v>214</v>
      </c>
      <c r="F92" s="77" t="s">
        <v>217</v>
      </c>
      <c r="G92" s="39" cm="1">
        <f t="array" ref="G92">_xlfn.XLOOKUP(1,('Cost Schedule'!$B$408:$B$425=BESS!E92)*('Cost Schedule'!$A$408:$A$425=BESS!F92),'Cost Schedule'!$C$408:$C$425)</f>
        <v>1583.4586059565713</v>
      </c>
      <c r="H92" s="72"/>
      <c r="I92" s="40">
        <f t="shared" si="16"/>
        <v>1583.4586059565713</v>
      </c>
      <c r="J92" s="244" t="s">
        <v>135</v>
      </c>
      <c r="K92" s="46">
        <f t="shared" si="17"/>
        <v>0</v>
      </c>
      <c r="L92" s="73"/>
    </row>
    <row r="93" spans="2:12" ht="13">
      <c r="B93" s="38" t="s">
        <v>218</v>
      </c>
      <c r="C93" s="67"/>
      <c r="D93" s="244" t="s">
        <v>135</v>
      </c>
      <c r="E93" s="74" t="s">
        <v>219</v>
      </c>
      <c r="F93" s="77" t="s">
        <v>217</v>
      </c>
      <c r="G93" s="39" cm="1">
        <f t="array" ref="G93">_xlfn.XLOOKUP(1,('Cost Schedule'!$B$408:$B$425=BESS!E93)*('Cost Schedule'!$A$408:$A$425=BESS!F93),'Cost Schedule'!$C$408:$C$425)</f>
        <v>5549.0279822666425</v>
      </c>
      <c r="H93" s="72"/>
      <c r="I93" s="40">
        <f t="shared" si="16"/>
        <v>5549.0279822666425</v>
      </c>
      <c r="J93" s="244" t="s">
        <v>135</v>
      </c>
      <c r="K93" s="46">
        <f t="shared" si="17"/>
        <v>0</v>
      </c>
      <c r="L93" s="73"/>
    </row>
    <row r="94" spans="2:12" ht="13">
      <c r="B94" s="38" t="s">
        <v>220</v>
      </c>
      <c r="C94" s="67"/>
      <c r="D94" s="244" t="s">
        <v>135</v>
      </c>
      <c r="E94" s="74" t="s">
        <v>221</v>
      </c>
      <c r="F94" s="77" t="s">
        <v>217</v>
      </c>
      <c r="G94" s="39" cm="1">
        <f t="array" ref="G94">_xlfn.XLOOKUP(1,('Cost Schedule'!$B$408:$B$425=BESS!E94)*('Cost Schedule'!$A$408:$A$425=BESS!F94),'Cost Schedule'!$C$408:$C$425)</f>
        <v>3166.9172119131426</v>
      </c>
      <c r="H94" s="72"/>
      <c r="I94" s="40">
        <f t="shared" si="16"/>
        <v>3166.9172119131426</v>
      </c>
      <c r="J94" s="244" t="s">
        <v>135</v>
      </c>
      <c r="K94" s="46">
        <f t="shared" si="17"/>
        <v>0</v>
      </c>
      <c r="L94" s="73"/>
    </row>
    <row r="95" spans="2:12" ht="13">
      <c r="B95" s="38" t="s">
        <v>222</v>
      </c>
      <c r="C95" s="67"/>
      <c r="D95" s="244" t="s">
        <v>135</v>
      </c>
      <c r="E95" s="74" t="s">
        <v>221</v>
      </c>
      <c r="F95" s="77" t="s">
        <v>215</v>
      </c>
      <c r="G95" s="39" cm="1">
        <f t="array" ref="G95">_xlfn.XLOOKUP(1,('Cost Schedule'!$B$408:$B$425=BESS!E95)*('Cost Schedule'!$A$408:$A$425=BESS!F95),'Cost Schedule'!$C$408:$C$425)</f>
        <v>2452.9172119131422</v>
      </c>
      <c r="H95" s="72"/>
      <c r="I95" s="40">
        <f t="shared" si="16"/>
        <v>2452.9172119131422</v>
      </c>
      <c r="J95" s="244" t="s">
        <v>135</v>
      </c>
      <c r="K95" s="46">
        <f t="shared" si="17"/>
        <v>0</v>
      </c>
      <c r="L95" s="73"/>
    </row>
    <row r="96" spans="2:12" ht="13">
      <c r="B96" s="38" t="s">
        <v>223</v>
      </c>
      <c r="C96" s="67"/>
      <c r="D96" s="244" t="s">
        <v>135</v>
      </c>
      <c r="E96" s="74" t="s">
        <v>221</v>
      </c>
      <c r="F96" s="77" t="s">
        <v>217</v>
      </c>
      <c r="G96" s="39" cm="1">
        <f t="array" ref="G96">_xlfn.XLOOKUP(1,('Cost Schedule'!$B$408:$B$425=BESS!E96)*('Cost Schedule'!$A$408:$A$425=BESS!F96),'Cost Schedule'!$C$408:$C$425)</f>
        <v>3166.9172119131426</v>
      </c>
      <c r="H96" s="72"/>
      <c r="I96" s="40">
        <f t="shared" si="16"/>
        <v>3166.9172119131426</v>
      </c>
      <c r="J96" s="244" t="s">
        <v>135</v>
      </c>
      <c r="K96" s="46">
        <f t="shared" si="17"/>
        <v>0</v>
      </c>
      <c r="L96" s="73"/>
    </row>
    <row r="97" spans="2:12" ht="13">
      <c r="B97" s="38" t="s">
        <v>224</v>
      </c>
      <c r="C97" s="67"/>
      <c r="D97" s="244" t="s">
        <v>135</v>
      </c>
      <c r="E97" s="74" t="s">
        <v>225</v>
      </c>
      <c r="F97" s="77" t="s">
        <v>226</v>
      </c>
      <c r="G97" s="39" cm="1">
        <f t="array" ref="G97">_xlfn.XLOOKUP(1,('Cost Schedule'!$B$408:$B$425=BESS!E97)*('Cost Schedule'!$A$408:$A$425=BESS!F97),'Cost Schedule'!$C$408:$C$425)</f>
        <v>2677.4167052488369</v>
      </c>
      <c r="H97" s="72"/>
      <c r="I97" s="40">
        <f t="shared" si="16"/>
        <v>2677.4167052488369</v>
      </c>
      <c r="J97" s="244" t="s">
        <v>135</v>
      </c>
      <c r="K97" s="46">
        <f t="shared" si="17"/>
        <v>0</v>
      </c>
      <c r="L97" s="73"/>
    </row>
    <row r="98" spans="2:12" ht="13">
      <c r="B98" s="38" t="s">
        <v>227</v>
      </c>
      <c r="C98" s="67"/>
      <c r="D98" s="244" t="s">
        <v>135</v>
      </c>
      <c r="E98" s="74" t="s">
        <v>225</v>
      </c>
      <c r="F98" s="77" t="s">
        <v>215</v>
      </c>
      <c r="G98" s="39" cm="1">
        <f t="array" ref="G98">_xlfn.XLOOKUP(1,('Cost Schedule'!$B$408:$B$425=BESS!E98)*('Cost Schedule'!$A$408:$A$425=BESS!F98),'Cost Schedule'!$C$408:$C$425)</f>
        <v>3605.8002317426135</v>
      </c>
      <c r="H98" s="72"/>
      <c r="I98" s="40">
        <f t="shared" si="16"/>
        <v>3605.8002317426135</v>
      </c>
      <c r="J98" s="244" t="s">
        <v>135</v>
      </c>
      <c r="K98" s="46">
        <f t="shared" si="17"/>
        <v>0</v>
      </c>
      <c r="L98" s="73"/>
    </row>
    <row r="99" spans="2:12" ht="13">
      <c r="B99" s="38" t="s">
        <v>228</v>
      </c>
      <c r="C99" s="67"/>
      <c r="D99" s="244" t="s">
        <v>135</v>
      </c>
      <c r="E99" s="74" t="s">
        <v>225</v>
      </c>
      <c r="F99" s="77" t="s">
        <v>217</v>
      </c>
      <c r="G99" s="39" cm="1">
        <f t="array" ref="G99">_xlfn.XLOOKUP(1,('Cost Schedule'!$B$408:$B$425=BESS!E99)*('Cost Schedule'!$A$408:$A$425=BESS!F99),'Cost Schedule'!$C$408:$C$425)</f>
        <v>3962.8002317426135</v>
      </c>
      <c r="H99" s="72"/>
      <c r="I99" s="40">
        <f t="shared" si="16"/>
        <v>3962.8002317426135</v>
      </c>
      <c r="J99" s="244" t="s">
        <v>135</v>
      </c>
      <c r="K99" s="46">
        <f t="shared" si="17"/>
        <v>0</v>
      </c>
      <c r="L99" s="73"/>
    </row>
    <row r="100" spans="2:12" ht="13">
      <c r="B100" s="38" t="s">
        <v>229</v>
      </c>
      <c r="C100" s="67"/>
      <c r="D100" s="244" t="s">
        <v>135</v>
      </c>
      <c r="E100" s="74" t="s">
        <v>230</v>
      </c>
      <c r="F100" s="77" t="s">
        <v>226</v>
      </c>
      <c r="G100" s="39" cm="1">
        <f t="array" ref="G100">_xlfn.XLOOKUP(1,('Cost Schedule'!$B$408:$B$425=BESS!E100)*('Cost Schedule'!$A$408:$A$425=BESS!F100),'Cost Schedule'!$C$408:$C$425)</f>
        <v>5354.8334104976739</v>
      </c>
      <c r="H100" s="72"/>
      <c r="I100" s="40">
        <f t="shared" si="16"/>
        <v>5354.8334104976739</v>
      </c>
      <c r="J100" s="244" t="s">
        <v>135</v>
      </c>
      <c r="K100" s="46">
        <f t="shared" si="17"/>
        <v>0</v>
      </c>
      <c r="L100" s="73"/>
    </row>
    <row r="101" spans="2:12" ht="13">
      <c r="B101" s="38" t="s">
        <v>231</v>
      </c>
      <c r="C101" s="67"/>
      <c r="D101" s="244" t="s">
        <v>135</v>
      </c>
      <c r="E101" s="74" t="s">
        <v>230</v>
      </c>
      <c r="F101" s="77" t="s">
        <v>215</v>
      </c>
      <c r="G101" s="39" cm="1">
        <f t="array" ref="G101">_xlfn.XLOOKUP(1,('Cost Schedule'!$B$408:$B$425=BESS!E101)*('Cost Schedule'!$A$408:$A$425=BESS!F101),'Cost Schedule'!$C$408:$C$425)</f>
        <v>7211.600463485227</v>
      </c>
      <c r="H101" s="72"/>
      <c r="I101" s="40">
        <f t="shared" si="16"/>
        <v>7211.600463485227</v>
      </c>
      <c r="J101" s="244" t="s">
        <v>135</v>
      </c>
      <c r="K101" s="46">
        <f t="shared" si="17"/>
        <v>0</v>
      </c>
      <c r="L101" s="73"/>
    </row>
    <row r="102" spans="2:12" ht="13">
      <c r="B102" s="38" t="s">
        <v>232</v>
      </c>
      <c r="C102" s="67"/>
      <c r="D102" s="244" t="s">
        <v>135</v>
      </c>
      <c r="E102" s="74" t="s">
        <v>230</v>
      </c>
      <c r="F102" s="77" t="s">
        <v>217</v>
      </c>
      <c r="G102" s="39" cm="1">
        <f t="array" ref="G102">_xlfn.XLOOKUP(1,('Cost Schedule'!$B$408:$B$425=BESS!E102)*('Cost Schedule'!$A$408:$A$425=BESS!F102),'Cost Schedule'!$C$408:$C$425)</f>
        <v>7925.600463485227</v>
      </c>
      <c r="H102" s="72"/>
      <c r="I102" s="40">
        <f t="shared" si="16"/>
        <v>7925.600463485227</v>
      </c>
      <c r="J102" s="244" t="s">
        <v>135</v>
      </c>
      <c r="K102" s="46">
        <f t="shared" si="17"/>
        <v>0</v>
      </c>
      <c r="L102" s="73"/>
    </row>
    <row r="103" spans="2:12" ht="13">
      <c r="B103" s="38" t="s">
        <v>233</v>
      </c>
      <c r="C103" s="67"/>
      <c r="D103" s="244" t="s">
        <v>135</v>
      </c>
      <c r="E103" s="74" t="s">
        <v>219</v>
      </c>
      <c r="F103" s="77" t="s">
        <v>226</v>
      </c>
      <c r="G103" s="39" cm="1">
        <f t="array" ref="G103">_xlfn.XLOOKUP(1,('Cost Schedule'!$B$408:$B$425=BESS!E103)*('Cost Schedule'!$A$408:$A$425=BESS!F103),'Cost Schedule'!$C$408:$C$425)</f>
        <v>4263.6444557728655</v>
      </c>
      <c r="H103" s="72"/>
      <c r="I103" s="40">
        <f t="shared" si="16"/>
        <v>4263.6444557728655</v>
      </c>
      <c r="J103" s="244" t="s">
        <v>135</v>
      </c>
      <c r="K103" s="46">
        <f t="shared" si="17"/>
        <v>0</v>
      </c>
      <c r="L103" s="73"/>
    </row>
    <row r="104" spans="2:12" ht="13">
      <c r="B104" s="38" t="s">
        <v>234</v>
      </c>
      <c r="C104" s="67"/>
      <c r="D104" s="244" t="s">
        <v>135</v>
      </c>
      <c r="E104" s="74" t="s">
        <v>219</v>
      </c>
      <c r="F104" s="77" t="s">
        <v>215</v>
      </c>
      <c r="G104" s="39" cm="1">
        <f t="array" ref="G104">_xlfn.XLOOKUP(1,('Cost Schedule'!$B$408:$B$425=BESS!E104)*('Cost Schedule'!$A$408:$A$425=BESS!F104),'Cost Schedule'!$C$408:$C$425)</f>
        <v>5192.0279822666425</v>
      </c>
      <c r="H104" s="72"/>
      <c r="I104" s="40">
        <f t="shared" si="16"/>
        <v>5192.0279822666425</v>
      </c>
      <c r="J104" s="244" t="s">
        <v>135</v>
      </c>
      <c r="K104" s="46">
        <f t="shared" si="17"/>
        <v>0</v>
      </c>
      <c r="L104" s="73"/>
    </row>
    <row r="105" spans="2:12" ht="13">
      <c r="B105" s="38" t="s">
        <v>235</v>
      </c>
      <c r="C105" s="67"/>
      <c r="D105" s="244" t="s">
        <v>135</v>
      </c>
      <c r="E105" s="74" t="s">
        <v>219</v>
      </c>
      <c r="F105" s="77" t="s">
        <v>217</v>
      </c>
      <c r="G105" s="39" cm="1">
        <f t="array" ref="G105">_xlfn.XLOOKUP(1,('Cost Schedule'!$B$408:$B$425=BESS!E105)*('Cost Schedule'!$A$408:$A$425=BESS!F105),'Cost Schedule'!$C$408:$C$425)</f>
        <v>5549.0279822666425</v>
      </c>
      <c r="H105" s="72"/>
      <c r="I105" s="40">
        <f t="shared" si="16"/>
        <v>5549.0279822666425</v>
      </c>
      <c r="J105" s="244" t="s">
        <v>135</v>
      </c>
      <c r="K105" s="46">
        <f t="shared" si="17"/>
        <v>0</v>
      </c>
      <c r="L105" s="73"/>
    </row>
    <row r="106" spans="2:12" ht="13">
      <c r="B106" s="38" t="s">
        <v>236</v>
      </c>
      <c r="C106" s="67"/>
      <c r="D106" s="244" t="s">
        <v>135</v>
      </c>
      <c r="E106" s="74" t="s">
        <v>237</v>
      </c>
      <c r="F106" s="77" t="s">
        <v>226</v>
      </c>
      <c r="G106" s="39" cm="1">
        <f t="array" ref="G106">_xlfn.XLOOKUP(1,('Cost Schedule'!$B$408:$B$425=BESS!E106)*('Cost Schedule'!$A$408:$A$425=BESS!F106),'Cost Schedule'!$C$408:$C$425)</f>
        <v>8527.288911545731</v>
      </c>
      <c r="H106" s="72"/>
      <c r="I106" s="40">
        <f t="shared" si="16"/>
        <v>8527.288911545731</v>
      </c>
      <c r="J106" s="244" t="s">
        <v>135</v>
      </c>
      <c r="K106" s="46">
        <f t="shared" si="17"/>
        <v>0</v>
      </c>
      <c r="L106" s="73"/>
    </row>
    <row r="107" spans="2:12" ht="13">
      <c r="B107" s="38" t="s">
        <v>238</v>
      </c>
      <c r="C107" s="67"/>
      <c r="D107" s="244" t="s">
        <v>135</v>
      </c>
      <c r="E107" s="74" t="s">
        <v>237</v>
      </c>
      <c r="F107" s="77" t="s">
        <v>215</v>
      </c>
      <c r="G107" s="39" cm="1">
        <f t="array" ref="G107">_xlfn.XLOOKUP(1,('Cost Schedule'!$B$408:$B$425=BESS!E107)*('Cost Schedule'!$A$408:$A$425=BESS!F107),'Cost Schedule'!$C$408:$C$425)</f>
        <v>10384.055964533285</v>
      </c>
      <c r="H107" s="72"/>
      <c r="I107" s="40">
        <f t="shared" si="16"/>
        <v>10384.055964533285</v>
      </c>
      <c r="J107" s="244" t="s">
        <v>135</v>
      </c>
      <c r="K107" s="46">
        <f t="shared" si="17"/>
        <v>0</v>
      </c>
      <c r="L107" s="73"/>
    </row>
    <row r="108" spans="2:12" ht="13">
      <c r="B108" s="38" t="s">
        <v>239</v>
      </c>
      <c r="C108" s="67"/>
      <c r="D108" s="244" t="s">
        <v>135</v>
      </c>
      <c r="E108" s="74" t="s">
        <v>237</v>
      </c>
      <c r="F108" s="77" t="s">
        <v>217</v>
      </c>
      <c r="G108" s="39" cm="1">
        <f t="array" ref="G108">_xlfn.XLOOKUP(1,('Cost Schedule'!$B$408:$B$425=BESS!E108)*('Cost Schedule'!$A$408:$A$425=BESS!F108),'Cost Schedule'!$C$408:$C$425)</f>
        <v>11098.055964533285</v>
      </c>
      <c r="H108" s="72"/>
      <c r="I108" s="40">
        <f t="shared" si="16"/>
        <v>11098.055964533285</v>
      </c>
      <c r="J108" s="244" t="s">
        <v>135</v>
      </c>
      <c r="K108" s="46">
        <f t="shared" si="17"/>
        <v>0</v>
      </c>
      <c r="L108" s="73"/>
    </row>
    <row r="109" spans="2:12">
      <c r="C109" s="291"/>
      <c r="I109" s="287"/>
      <c r="L109" s="73"/>
    </row>
    <row r="110" spans="2:12" ht="13">
      <c r="B110" s="256" t="str">
        <f>B$22</f>
        <v>Totals</v>
      </c>
      <c r="C110" s="320">
        <f>SUM(C90:C109)</f>
        <v>0</v>
      </c>
      <c r="D110" s="244" t="s">
        <v>135</v>
      </c>
      <c r="H110" s="270" t="s">
        <v>240</v>
      </c>
      <c r="I110" s="40">
        <f>IF(C110=0,0,K110/C110)</f>
        <v>0</v>
      </c>
      <c r="J110" s="271" t="s">
        <v>324</v>
      </c>
      <c r="K110" s="101">
        <f>SUM(K90:K109)</f>
        <v>0</v>
      </c>
      <c r="L110" s="73"/>
    </row>
    <row r="111" spans="2:12">
      <c r="C111" s="346"/>
      <c r="L111" s="73"/>
    </row>
    <row r="112" spans="2:12" ht="13">
      <c r="B112" s="222" t="s">
        <v>242</v>
      </c>
      <c r="C112" s="222"/>
      <c r="D112" s="222"/>
      <c r="E112" s="222"/>
      <c r="F112" s="222"/>
      <c r="G112" s="222"/>
      <c r="H112" s="222"/>
      <c r="I112" s="222"/>
      <c r="J112" s="222"/>
      <c r="K112" s="222"/>
      <c r="L112" s="222"/>
    </row>
    <row r="113" spans="2:12" ht="13">
      <c r="B113" s="266" t="s">
        <v>141</v>
      </c>
      <c r="C113" s="267" t="s">
        <v>142</v>
      </c>
      <c r="D113" s="267" t="s">
        <v>82</v>
      </c>
      <c r="E113" s="269" t="s">
        <v>152</v>
      </c>
      <c r="F113" s="269"/>
      <c r="G113" s="268" t="s">
        <v>81</v>
      </c>
      <c r="H113" s="268" t="s">
        <v>143</v>
      </c>
      <c r="I113" s="268" t="s">
        <v>144</v>
      </c>
      <c r="J113" s="268" t="s">
        <v>145</v>
      </c>
      <c r="K113" s="268" t="s">
        <v>146</v>
      </c>
      <c r="L113" s="73"/>
    </row>
    <row r="114" spans="2:12" ht="13">
      <c r="B114" s="38" t="s">
        <v>243</v>
      </c>
      <c r="C114" s="67"/>
      <c r="D114" s="244" t="s">
        <v>135</v>
      </c>
      <c r="E114" s="74" t="s">
        <v>244</v>
      </c>
      <c r="F114" s="77" t="s">
        <v>217</v>
      </c>
      <c r="G114" s="39" cm="1">
        <f t="array" ref="G114">_xlfn.XLOOKUP(1,('Cost Schedule'!$B$222:$B$230=BESS!E114)*('Cost Schedule'!$A$222:$A$230=BESS!F114),'Cost Schedule'!$C$222:$C$230)</f>
        <v>5985.8030455049229</v>
      </c>
      <c r="H114" s="72"/>
      <c r="I114" s="40">
        <f t="shared" ref="I114:I122" si="18">IF(H114="",G114,H114)</f>
        <v>5985.8030455049229</v>
      </c>
      <c r="J114" s="244" t="s">
        <v>135</v>
      </c>
      <c r="K114" s="46">
        <f t="shared" ref="K114" si="19">I114*C114</f>
        <v>0</v>
      </c>
      <c r="L114" s="73"/>
    </row>
    <row r="115" spans="2:12" ht="13">
      <c r="B115" s="38" t="s">
        <v>245</v>
      </c>
      <c r="C115" s="67"/>
      <c r="D115" s="244" t="s">
        <v>135</v>
      </c>
      <c r="E115" s="74" t="s">
        <v>246</v>
      </c>
      <c r="F115" s="77" t="s">
        <v>217</v>
      </c>
      <c r="G115" s="39" cm="1">
        <f t="array" ref="G115">_xlfn.XLOOKUP(1,('Cost Schedule'!$B$222:$B$230=BESS!E115)*('Cost Schedule'!$A$222:$A$230=BESS!F115),'Cost Schedule'!$C$222:$C$230)</f>
        <v>21848.080550745202</v>
      </c>
      <c r="H115" s="72"/>
      <c r="I115" s="40">
        <f t="shared" si="18"/>
        <v>21848.080550745202</v>
      </c>
      <c r="J115" s="244" t="s">
        <v>135</v>
      </c>
      <c r="K115" s="46">
        <f>I115*C115</f>
        <v>0</v>
      </c>
      <c r="L115" s="73"/>
    </row>
    <row r="116" spans="2:12" ht="13">
      <c r="B116" s="38" t="s">
        <v>247</v>
      </c>
      <c r="C116" s="67"/>
      <c r="D116" s="244" t="s">
        <v>135</v>
      </c>
      <c r="E116" s="74" t="s">
        <v>248</v>
      </c>
      <c r="F116" s="77" t="s">
        <v>217</v>
      </c>
      <c r="G116" s="39" cm="1">
        <f t="array" ref="G116">_xlfn.XLOOKUP(1,('Cost Schedule'!$B$222:$B$230=BESS!E116)*('Cost Schedule'!$A$222:$A$230=BESS!F116),'Cost Schedule'!$C$222:$C$230)</f>
        <v>64965.977915551659</v>
      </c>
      <c r="H116" s="72"/>
      <c r="I116" s="40">
        <f t="shared" si="18"/>
        <v>64965.977915551659</v>
      </c>
      <c r="J116" s="244" t="s">
        <v>135</v>
      </c>
      <c r="K116" s="46">
        <f t="shared" ref="K116:K122" si="20">I116*C116</f>
        <v>0</v>
      </c>
      <c r="L116" s="73"/>
    </row>
    <row r="117" spans="2:12" ht="13">
      <c r="B117" s="38" t="s">
        <v>249</v>
      </c>
      <c r="C117" s="67"/>
      <c r="D117" s="244" t="s">
        <v>135</v>
      </c>
      <c r="E117" s="74" t="s">
        <v>244</v>
      </c>
      <c r="F117" s="77" t="s">
        <v>217</v>
      </c>
      <c r="G117" s="39" cm="1">
        <f t="array" ref="G117">_xlfn.XLOOKUP(1,('Cost Schedule'!$B$222:$B$230=BESS!E117)*('Cost Schedule'!$A$222:$A$230=BESS!F117),'Cost Schedule'!$C$222:$C$230)</f>
        <v>5985.8030455049229</v>
      </c>
      <c r="H117" s="72"/>
      <c r="I117" s="40">
        <f t="shared" si="18"/>
        <v>5985.8030455049229</v>
      </c>
      <c r="J117" s="244" t="s">
        <v>135</v>
      </c>
      <c r="K117" s="46">
        <f t="shared" si="20"/>
        <v>0</v>
      </c>
      <c r="L117" s="73"/>
    </row>
    <row r="118" spans="2:12" ht="13">
      <c r="B118" s="38" t="s">
        <v>250</v>
      </c>
      <c r="C118" s="67"/>
      <c r="D118" s="244" t="s">
        <v>135</v>
      </c>
      <c r="E118" s="74" t="s">
        <v>244</v>
      </c>
      <c r="F118" s="77" t="s">
        <v>217</v>
      </c>
      <c r="G118" s="39" cm="1">
        <f t="array" ref="G118">_xlfn.XLOOKUP(1,('Cost Schedule'!$B$222:$B$230=BESS!E118)*('Cost Schedule'!$A$222:$A$230=BESS!F118),'Cost Schedule'!$C$222:$C$230)</f>
        <v>5985.8030455049229</v>
      </c>
      <c r="H118" s="72"/>
      <c r="I118" s="40">
        <f t="shared" si="18"/>
        <v>5985.8030455049229</v>
      </c>
      <c r="J118" s="244" t="s">
        <v>135</v>
      </c>
      <c r="K118" s="46">
        <f t="shared" si="20"/>
        <v>0</v>
      </c>
      <c r="L118" s="73"/>
    </row>
    <row r="119" spans="2:12" ht="13">
      <c r="B119" s="38" t="s">
        <v>251</v>
      </c>
      <c r="C119" s="67"/>
      <c r="D119" s="244" t="s">
        <v>135</v>
      </c>
      <c r="E119" s="74" t="s">
        <v>244</v>
      </c>
      <c r="F119" s="77" t="s">
        <v>217</v>
      </c>
      <c r="G119" s="39" cm="1">
        <f t="array" ref="G119">_xlfn.XLOOKUP(1,('Cost Schedule'!$B$222:$B$230=BESS!E119)*('Cost Schedule'!$A$222:$A$230=BESS!F119),'Cost Schedule'!$C$222:$C$230)</f>
        <v>5985.8030455049229</v>
      </c>
      <c r="H119" s="72"/>
      <c r="I119" s="40">
        <f t="shared" si="18"/>
        <v>5985.8030455049229</v>
      </c>
      <c r="J119" s="244" t="s">
        <v>135</v>
      </c>
      <c r="K119" s="46">
        <f t="shared" si="20"/>
        <v>0</v>
      </c>
      <c r="L119" s="73"/>
    </row>
    <row r="120" spans="2:12" ht="13">
      <c r="B120" s="38" t="s">
        <v>252</v>
      </c>
      <c r="C120" s="67"/>
      <c r="D120" s="244" t="s">
        <v>135</v>
      </c>
      <c r="E120" s="74" t="s">
        <v>244</v>
      </c>
      <c r="F120" s="77" t="s">
        <v>217</v>
      </c>
      <c r="G120" s="39" cm="1">
        <f t="array" ref="G120">_xlfn.XLOOKUP(1,('Cost Schedule'!$B$222:$B$230=BESS!E120)*('Cost Schedule'!$A$222:$A$230=BESS!F120),'Cost Schedule'!$C$222:$C$230)</f>
        <v>5985.8030455049229</v>
      </c>
      <c r="H120" s="72"/>
      <c r="I120" s="40">
        <f t="shared" si="18"/>
        <v>5985.8030455049229</v>
      </c>
      <c r="J120" s="244" t="s">
        <v>135</v>
      </c>
      <c r="K120" s="46">
        <f t="shared" si="20"/>
        <v>0</v>
      </c>
      <c r="L120" s="73"/>
    </row>
    <row r="121" spans="2:12" ht="13">
      <c r="B121" s="38" t="s">
        <v>253</v>
      </c>
      <c r="C121" s="67"/>
      <c r="D121" s="244" t="s">
        <v>135</v>
      </c>
      <c r="E121" s="74" t="s">
        <v>244</v>
      </c>
      <c r="F121" s="77" t="s">
        <v>217</v>
      </c>
      <c r="G121" s="39" cm="1">
        <f t="array" ref="G121">_xlfn.XLOOKUP(1,('Cost Schedule'!$B$222:$B$230=BESS!E121)*('Cost Schedule'!$A$222:$A$230=BESS!F121),'Cost Schedule'!$C$222:$C$230)</f>
        <v>5985.8030455049229</v>
      </c>
      <c r="H121" s="72"/>
      <c r="I121" s="40">
        <f t="shared" si="18"/>
        <v>5985.8030455049229</v>
      </c>
      <c r="J121" s="244" t="s">
        <v>135</v>
      </c>
      <c r="K121" s="46">
        <f t="shared" si="20"/>
        <v>0</v>
      </c>
      <c r="L121" s="73"/>
    </row>
    <row r="122" spans="2:12" ht="13">
      <c r="B122" s="38" t="s">
        <v>254</v>
      </c>
      <c r="C122" s="67"/>
      <c r="D122" s="244" t="s">
        <v>135</v>
      </c>
      <c r="E122" s="74" t="s">
        <v>244</v>
      </c>
      <c r="F122" s="77" t="s">
        <v>217</v>
      </c>
      <c r="G122" s="39" cm="1">
        <f t="array" ref="G122">_xlfn.XLOOKUP(1,('Cost Schedule'!$B$222:$B$230=BESS!E122)*('Cost Schedule'!$A$222:$A$230=BESS!F122),'Cost Schedule'!$C$222:$C$230)</f>
        <v>5985.8030455049229</v>
      </c>
      <c r="H122" s="72"/>
      <c r="I122" s="40">
        <f t="shared" si="18"/>
        <v>5985.8030455049229</v>
      </c>
      <c r="J122" s="244" t="s">
        <v>135</v>
      </c>
      <c r="K122" s="46">
        <f t="shared" si="20"/>
        <v>0</v>
      </c>
      <c r="L122" s="73"/>
    </row>
    <row r="123" spans="2:12">
      <c r="C123" s="291"/>
      <c r="I123" s="287"/>
      <c r="L123" s="70"/>
    </row>
    <row r="124" spans="2:12" ht="13">
      <c r="B124" s="256" t="str">
        <f>B$22</f>
        <v>Totals</v>
      </c>
      <c r="C124" s="320">
        <f>SUM(C113:C123)</f>
        <v>0</v>
      </c>
      <c r="D124" s="244" t="s">
        <v>135</v>
      </c>
      <c r="H124" s="270" t="s">
        <v>255</v>
      </c>
      <c r="I124" s="40">
        <f>IF(C124=0,0,K124/C124)</f>
        <v>0</v>
      </c>
      <c r="J124" s="271" t="s">
        <v>324</v>
      </c>
      <c r="K124" s="101">
        <f>SUM(K113:K123)</f>
        <v>0</v>
      </c>
      <c r="L124" s="73"/>
    </row>
    <row r="125" spans="2:12">
      <c r="L125" s="70"/>
    </row>
    <row r="126" spans="2:12" ht="13">
      <c r="B126" s="222" t="s">
        <v>256</v>
      </c>
      <c r="C126" s="222"/>
      <c r="D126" s="222"/>
      <c r="E126" s="222"/>
      <c r="F126" s="222"/>
      <c r="G126" s="222"/>
      <c r="H126" s="222"/>
      <c r="I126" s="222"/>
      <c r="J126" s="222"/>
      <c r="K126" s="222"/>
      <c r="L126" s="222"/>
    </row>
    <row r="127" spans="2:12" ht="13">
      <c r="B127" s="266" t="s">
        <v>141</v>
      </c>
      <c r="C127" s="267" t="s">
        <v>142</v>
      </c>
      <c r="D127" s="267" t="s">
        <v>82</v>
      </c>
      <c r="E127" s="269" t="s">
        <v>152</v>
      </c>
      <c r="F127" s="269"/>
      <c r="G127" s="268" t="s">
        <v>81</v>
      </c>
      <c r="H127" s="268" t="s">
        <v>143</v>
      </c>
      <c r="I127" s="268" t="s">
        <v>144</v>
      </c>
      <c r="J127" s="268" t="s">
        <v>145</v>
      </c>
      <c r="K127" s="268" t="s">
        <v>146</v>
      </c>
      <c r="L127" s="70"/>
    </row>
    <row r="128" spans="2:12" ht="13">
      <c r="B128" s="38" t="s">
        <v>257</v>
      </c>
      <c r="C128" s="67"/>
      <c r="D128" s="244" t="s">
        <v>135</v>
      </c>
      <c r="E128" s="74" t="s">
        <v>258</v>
      </c>
      <c r="F128" s="77" t="s">
        <v>226</v>
      </c>
      <c r="G128" s="39" cm="1">
        <f t="array" ref="G128">_xlfn.XLOOKUP(1,('Cost Schedule'!$B$6:$B$14=BESS!E128)*('Cost Schedule'!$A$6:$A$14=BESS!F128),'Cost Schedule'!$C$6:$C$14)</f>
        <v>17563.468795765948</v>
      </c>
      <c r="H128" s="72"/>
      <c r="I128" s="40">
        <f>IF(H128="",G128,H128)</f>
        <v>17563.468795765948</v>
      </c>
      <c r="J128" s="244" t="s">
        <v>135</v>
      </c>
      <c r="K128" s="46">
        <f>I128*C128</f>
        <v>0</v>
      </c>
      <c r="L128" s="73"/>
    </row>
    <row r="129" spans="2:12" ht="13">
      <c r="B129" s="38" t="s">
        <v>259</v>
      </c>
      <c r="C129" s="67"/>
      <c r="D129" s="244" t="s">
        <v>135</v>
      </c>
      <c r="E129" s="74" t="s">
        <v>260</v>
      </c>
      <c r="F129" s="77" t="s">
        <v>217</v>
      </c>
      <c r="G129" s="39" cm="1">
        <f t="array" ref="G129">_xlfn.XLOOKUP(1,('Cost Schedule'!$B$6:$B$14=BESS!E129)*('Cost Schedule'!$A$6:$A$14=BESS!F129),'Cost Schedule'!$C$6:$C$14)</f>
        <v>14555.026555463435</v>
      </c>
      <c r="H129" s="72"/>
      <c r="I129" s="40">
        <f>IF(H129="",G129,H129)</f>
        <v>14555.026555463435</v>
      </c>
      <c r="J129" s="244" t="s">
        <v>135</v>
      </c>
      <c r="K129" s="46">
        <f>I129*C129</f>
        <v>0</v>
      </c>
      <c r="L129" s="73"/>
    </row>
    <row r="130" spans="2:12">
      <c r="C130" s="291"/>
      <c r="I130" s="287"/>
      <c r="L130" s="70"/>
    </row>
    <row r="131" spans="2:12" ht="13">
      <c r="B131" s="256" t="str">
        <f>B$22</f>
        <v>Totals</v>
      </c>
      <c r="C131" s="320">
        <f>SUM(C127:C130)</f>
        <v>0</v>
      </c>
      <c r="D131" s="244" t="s">
        <v>135</v>
      </c>
      <c r="H131" s="270" t="s">
        <v>261</v>
      </c>
      <c r="I131" s="40">
        <f>IF(C131=0,0,K131/C131)</f>
        <v>0</v>
      </c>
      <c r="J131" s="271" t="s">
        <v>324</v>
      </c>
      <c r="K131" s="101">
        <f>SUM(K127:K130)</f>
        <v>0</v>
      </c>
      <c r="L131" s="73"/>
    </row>
    <row r="132" spans="2:12">
      <c r="L132" s="70"/>
    </row>
    <row r="133" spans="2:12" ht="13">
      <c r="B133" s="222" t="s">
        <v>262</v>
      </c>
      <c r="C133" s="222"/>
      <c r="D133" s="222"/>
      <c r="E133" s="222"/>
      <c r="F133" s="222"/>
      <c r="G133" s="222"/>
      <c r="H133" s="222"/>
      <c r="I133" s="222"/>
      <c r="J133" s="222"/>
      <c r="K133" s="222"/>
      <c r="L133" s="222"/>
    </row>
    <row r="134" spans="2:12" ht="25">
      <c r="B134" s="266" t="s">
        <v>141</v>
      </c>
      <c r="C134" s="267" t="s">
        <v>142</v>
      </c>
      <c r="D134" s="267" t="s">
        <v>82</v>
      </c>
      <c r="E134" s="269" t="s">
        <v>152</v>
      </c>
      <c r="F134" s="269"/>
      <c r="G134" s="268" t="s">
        <v>81</v>
      </c>
      <c r="H134" s="268" t="s">
        <v>143</v>
      </c>
      <c r="I134" s="268" t="s">
        <v>144</v>
      </c>
      <c r="J134" s="268" t="s">
        <v>145</v>
      </c>
      <c r="K134" s="268" t="s">
        <v>146</v>
      </c>
      <c r="L134" s="92" t="s">
        <v>263</v>
      </c>
    </row>
    <row r="135" spans="2:12" ht="15" customHeight="1">
      <c r="B135" s="38" t="s">
        <v>264</v>
      </c>
      <c r="C135" s="67"/>
      <c r="D135" s="263" t="str">
        <f>_xlfn.XLOOKUP($E135,'Cost Schedule'!$B$30:$B$34,'Cost Schedule'!$D$30:$D$34)</f>
        <v>m2</v>
      </c>
      <c r="E135" s="74" t="s">
        <v>265</v>
      </c>
      <c r="F135" s="276"/>
      <c r="G135" s="39">
        <f>_xlfn.XLOOKUP($E135,'Cost Schedule'!$B$30:$B$34,'Cost Schedule'!$C$30:$C$34)</f>
        <v>130.34119174820927</v>
      </c>
      <c r="H135" s="72"/>
      <c r="I135" s="40">
        <f>IF(H135="",G135,H135)</f>
        <v>130.34119174820927</v>
      </c>
      <c r="J135" s="263" t="str">
        <f>D135</f>
        <v>m2</v>
      </c>
      <c r="K135" s="46">
        <f>I135*C135</f>
        <v>0</v>
      </c>
      <c r="L135" s="73"/>
    </row>
    <row r="136" spans="2:12" ht="15" customHeight="1">
      <c r="B136" s="38" t="s">
        <v>266</v>
      </c>
      <c r="C136" s="67"/>
      <c r="D136" s="263" t="str">
        <f>_xlfn.XLOOKUP($E136,'Cost Schedule'!$B$30:$B$34,'Cost Schedule'!$D$30:$D$34)</f>
        <v>m2</v>
      </c>
      <c r="E136" s="74" t="s">
        <v>267</v>
      </c>
      <c r="F136" s="276"/>
      <c r="G136" s="39">
        <f>_xlfn.XLOOKUP($E136,'Cost Schedule'!$B$30:$B$34,'Cost Schedule'!$C$30:$C$34)</f>
        <v>65.831315749844336</v>
      </c>
      <c r="H136" s="72"/>
      <c r="I136" s="40">
        <f>IF(H136="",G136,H136)</f>
        <v>65.831315749844336</v>
      </c>
      <c r="J136" s="263" t="str">
        <f t="shared" ref="J136:J139" si="21">D136</f>
        <v>m2</v>
      </c>
      <c r="K136" s="46">
        <f>I136*C136</f>
        <v>0</v>
      </c>
      <c r="L136" s="70"/>
    </row>
    <row r="137" spans="2:12" ht="15" customHeight="1">
      <c r="B137" s="38" t="s">
        <v>268</v>
      </c>
      <c r="C137" s="67"/>
      <c r="D137" s="263" t="str">
        <f>_xlfn.XLOOKUP($E137,'Cost Schedule'!$B$30:$B$34,'Cost Schedule'!$D$30:$D$34)</f>
        <v>m2</v>
      </c>
      <c r="E137" s="74" t="s">
        <v>269</v>
      </c>
      <c r="F137" s="276"/>
      <c r="G137" s="39">
        <f>_xlfn.XLOOKUP($E137,'Cost Schedule'!$B$30:$B$34,'Cost Schedule'!$C$30:$C$34)</f>
        <v>57.775533127992965</v>
      </c>
      <c r="H137" s="72"/>
      <c r="I137" s="40">
        <f>IF(H137="",G137,H137)</f>
        <v>57.775533127992965</v>
      </c>
      <c r="J137" s="263" t="str">
        <f t="shared" si="21"/>
        <v>m2</v>
      </c>
      <c r="K137" s="46">
        <f>I137*C137</f>
        <v>0</v>
      </c>
      <c r="L137" s="73"/>
    </row>
    <row r="138" spans="2:12" ht="15" customHeight="1">
      <c r="B138" s="38" t="s">
        <v>270</v>
      </c>
      <c r="C138" s="67"/>
      <c r="D138" s="263" t="str">
        <f>_xlfn.XLOOKUP($E138,'Cost Schedule'!$B$30:$B$34,'Cost Schedule'!$D$30:$D$34)</f>
        <v>m2</v>
      </c>
      <c r="E138" s="74" t="s">
        <v>271</v>
      </c>
      <c r="F138" s="276"/>
      <c r="G138" s="39">
        <f>_xlfn.XLOOKUP($E138,'Cost Schedule'!$B$30:$B$34,'Cost Schedule'!$C$30:$C$34)</f>
        <v>182.24173485583563</v>
      </c>
      <c r="H138" s="72"/>
      <c r="I138" s="40">
        <f>IF(H138="",G138,H138)</f>
        <v>182.24173485583563</v>
      </c>
      <c r="J138" s="263" t="str">
        <f t="shared" si="21"/>
        <v>m2</v>
      </c>
      <c r="K138" s="46">
        <f>I138*C138</f>
        <v>0</v>
      </c>
      <c r="L138" s="70"/>
    </row>
    <row r="139" spans="2:12" ht="15" customHeight="1">
      <c r="B139" s="38" t="s">
        <v>272</v>
      </c>
      <c r="C139" s="67"/>
      <c r="D139" s="263" t="str">
        <f>_xlfn.XLOOKUP($E139,'Cost Schedule'!$B$30:$B$34,'Cost Schedule'!$D$30:$D$34)</f>
        <v>m2-floor</v>
      </c>
      <c r="E139" s="74" t="s">
        <v>273</v>
      </c>
      <c r="F139" s="276"/>
      <c r="G139" s="39">
        <f>_xlfn.XLOOKUP($E139,'Cost Schedule'!$B$30:$B$34,'Cost Schedule'!$C$30:$C$34)</f>
        <v>57.05767457349878</v>
      </c>
      <c r="H139" s="72"/>
      <c r="I139" s="40">
        <f>IF(H139="",G139,H139)</f>
        <v>57.05767457349878</v>
      </c>
      <c r="J139" s="263" t="str">
        <f t="shared" si="21"/>
        <v>m2-floor</v>
      </c>
      <c r="K139" s="46">
        <f>I139*C139</f>
        <v>0</v>
      </c>
      <c r="L139" s="73"/>
    </row>
    <row r="140" spans="2:12" ht="13">
      <c r="C140" s="291"/>
      <c r="F140" s="269"/>
      <c r="L140" s="70"/>
    </row>
    <row r="141" spans="2:12" ht="13">
      <c r="B141" s="256" t="str">
        <f>B$22</f>
        <v>Totals</v>
      </c>
      <c r="C141" s="320">
        <f>SUM(C134:C140)</f>
        <v>0</v>
      </c>
      <c r="D141" s="244" t="s">
        <v>274</v>
      </c>
      <c r="H141" s="270" t="s">
        <v>275</v>
      </c>
      <c r="I141" s="40">
        <f>IF(C141=0,0,K141/C141)</f>
        <v>0</v>
      </c>
      <c r="J141" s="271" t="s">
        <v>504</v>
      </c>
      <c r="K141" s="101">
        <f>SUM(K134:K140)</f>
        <v>0</v>
      </c>
      <c r="L141" s="73"/>
    </row>
    <row r="142" spans="2:12">
      <c r="L142" s="70"/>
    </row>
    <row r="143" spans="2:12" ht="13">
      <c r="B143" s="222" t="s">
        <v>277</v>
      </c>
      <c r="C143" s="222"/>
      <c r="D143" s="222"/>
      <c r="E143" s="222"/>
      <c r="F143" s="222"/>
      <c r="G143" s="222"/>
      <c r="H143" s="222"/>
      <c r="I143" s="222"/>
      <c r="J143" s="222"/>
      <c r="K143" s="222"/>
      <c r="L143" s="222"/>
    </row>
    <row r="144" spans="2:12" ht="13">
      <c r="B144" s="266" t="s">
        <v>141</v>
      </c>
      <c r="C144" s="267" t="s">
        <v>142</v>
      </c>
      <c r="D144" s="267" t="s">
        <v>82</v>
      </c>
      <c r="E144" s="269" t="s">
        <v>152</v>
      </c>
      <c r="F144" s="269"/>
      <c r="G144" s="268" t="s">
        <v>81</v>
      </c>
      <c r="H144" s="268" t="s">
        <v>143</v>
      </c>
      <c r="I144" s="268" t="s">
        <v>144</v>
      </c>
      <c r="J144" s="268" t="s">
        <v>145</v>
      </c>
      <c r="K144" s="268" t="s">
        <v>146</v>
      </c>
      <c r="L144" s="70"/>
    </row>
    <row r="145" spans="2:12" ht="14.25" customHeight="1">
      <c r="B145" s="38" t="s">
        <v>278</v>
      </c>
      <c r="C145" s="69"/>
      <c r="D145" s="263" t="str">
        <f>_xlfn.XLOOKUP($E145,'Cost Schedule'!$B$37:$B$40,'Cost Schedule'!$D$37:$D$40)</f>
        <v>building</v>
      </c>
      <c r="E145" s="78" t="s">
        <v>279</v>
      </c>
      <c r="F145" s="276"/>
      <c r="G145" s="39">
        <f>_xlfn.XLOOKUP(E145,'Cost Schedule'!$B$37:$B$40,'Cost Schedule'!$C$37:$C$40)</f>
        <v>1883.512891943768</v>
      </c>
      <c r="H145" s="72"/>
      <c r="I145" s="40">
        <f>IF(H145="",G145,H145)</f>
        <v>1883.512891943768</v>
      </c>
      <c r="J145" s="263" t="str">
        <f>D145</f>
        <v>building</v>
      </c>
      <c r="K145" s="46">
        <f>I145*C145</f>
        <v>0</v>
      </c>
      <c r="L145" s="73"/>
    </row>
    <row r="146" spans="2:12" ht="14.25" customHeight="1">
      <c r="B146" s="38" t="s">
        <v>280</v>
      </c>
      <c r="C146" s="69"/>
      <c r="D146" s="263" t="str">
        <f>_xlfn.XLOOKUP($E146,'Cost Schedule'!$B$37:$B$40,'Cost Schedule'!$D$37:$D$40)</f>
        <v>building</v>
      </c>
      <c r="E146" s="78" t="s">
        <v>281</v>
      </c>
      <c r="F146" s="276"/>
      <c r="G146" s="39">
        <f>_xlfn.XLOOKUP(E146,'Cost Schedule'!$B$37:$B$40,'Cost Schedule'!$C$37:$C$40)</f>
        <v>1243.9588072170536</v>
      </c>
      <c r="H146" s="72"/>
      <c r="I146" s="40">
        <f>IF(H146="",G146,H146)</f>
        <v>1243.9588072170536</v>
      </c>
      <c r="J146" s="263" t="str">
        <f t="shared" ref="J146:J149" si="22">D146</f>
        <v>building</v>
      </c>
      <c r="K146" s="46">
        <f>I146*C146</f>
        <v>0</v>
      </c>
      <c r="L146" s="70"/>
    </row>
    <row r="147" spans="2:12" ht="14.25" customHeight="1">
      <c r="B147" s="38" t="s">
        <v>282</v>
      </c>
      <c r="C147" s="69"/>
      <c r="D147" s="263" t="str">
        <f>_xlfn.XLOOKUP($E147,'Cost Schedule'!$B$37:$B$40,'Cost Schedule'!$D$37:$D$40)</f>
        <v>building</v>
      </c>
      <c r="E147" s="78" t="s">
        <v>283</v>
      </c>
      <c r="F147" s="276"/>
      <c r="G147" s="39">
        <f>_xlfn.XLOOKUP(E147,'Cost Schedule'!$B$37:$B$40,'Cost Schedule'!$C$37:$C$40)</f>
        <v>10251.77359535745</v>
      </c>
      <c r="H147" s="72"/>
      <c r="I147" s="40">
        <f>IF(H147="",G147,H147)</f>
        <v>10251.77359535745</v>
      </c>
      <c r="J147" s="263" t="str">
        <f t="shared" si="22"/>
        <v>building</v>
      </c>
      <c r="K147" s="46">
        <f>I147*C147</f>
        <v>0</v>
      </c>
      <c r="L147" s="73"/>
    </row>
    <row r="148" spans="2:12" ht="14.25" customHeight="1">
      <c r="B148" s="38" t="s">
        <v>284</v>
      </c>
      <c r="C148" s="69"/>
      <c r="D148" s="263" t="str">
        <f>_xlfn.XLOOKUP($E148,'Cost Schedule'!$B$37:$B$40,'Cost Schedule'!$D$37:$D$40)</f>
        <v>building</v>
      </c>
      <c r="E148" s="78" t="s">
        <v>285</v>
      </c>
      <c r="F148" s="276"/>
      <c r="G148" s="39">
        <f>_xlfn.XLOOKUP(E148,'Cost Schedule'!$B$37:$B$40,'Cost Schedule'!$C$37:$C$40)</f>
        <v>7015.0882772529176</v>
      </c>
      <c r="H148" s="72"/>
      <c r="I148" s="40">
        <f>IF(H148="",G148,H148)</f>
        <v>7015.0882772529176</v>
      </c>
      <c r="J148" s="263" t="str">
        <f t="shared" si="22"/>
        <v>building</v>
      </c>
      <c r="K148" s="46">
        <f>I148*C148</f>
        <v>0</v>
      </c>
      <c r="L148" s="70"/>
    </row>
    <row r="149" spans="2:12" ht="14.25" customHeight="1">
      <c r="B149" s="38" t="s">
        <v>286</v>
      </c>
      <c r="C149" s="69"/>
      <c r="D149" s="263" t="str">
        <f>_xlfn.XLOOKUP($E149,'Cost Schedule'!$B$37:$B$40,'Cost Schedule'!$D$37:$D$40)</f>
        <v>building</v>
      </c>
      <c r="E149" s="78" t="s">
        <v>279</v>
      </c>
      <c r="F149" s="276"/>
      <c r="G149" s="39">
        <f>_xlfn.XLOOKUP(E149,'Cost Schedule'!$B$37:$B$40,'Cost Schedule'!$C$37:$C$40)</f>
        <v>1883.512891943768</v>
      </c>
      <c r="H149" s="72"/>
      <c r="I149" s="40">
        <f>IF(H149="",G149,H149)</f>
        <v>1883.512891943768</v>
      </c>
      <c r="J149" s="263" t="str">
        <f t="shared" si="22"/>
        <v>building</v>
      </c>
      <c r="K149" s="46">
        <f>I149*C149</f>
        <v>0</v>
      </c>
      <c r="L149" s="73"/>
    </row>
    <row r="150" spans="2:12" ht="13">
      <c r="C150" s="338"/>
      <c r="F150" s="269"/>
      <c r="L150" s="70"/>
    </row>
    <row r="151" spans="2:12" ht="13">
      <c r="B151" s="256" t="str">
        <f>B$22</f>
        <v>Totals</v>
      </c>
      <c r="C151" s="342">
        <f>SUM(C144:C150)</f>
        <v>0</v>
      </c>
      <c r="D151" s="244" t="s">
        <v>287</v>
      </c>
      <c r="H151" s="270" t="s">
        <v>275</v>
      </c>
      <c r="I151" s="40">
        <f>IF(C151=0,0,K151/C151)</f>
        <v>0</v>
      </c>
      <c r="J151" s="271" t="s">
        <v>288</v>
      </c>
      <c r="K151" s="101">
        <f>SUM(K144:K150)</f>
        <v>0</v>
      </c>
      <c r="L151" s="73"/>
    </row>
    <row r="152" spans="2:12">
      <c r="L152" s="70"/>
    </row>
    <row r="153" spans="2:12" ht="13">
      <c r="B153" s="222" t="s">
        <v>289</v>
      </c>
      <c r="C153" s="222"/>
      <c r="D153" s="222"/>
      <c r="E153" s="222"/>
      <c r="F153" s="222"/>
      <c r="G153" s="222"/>
      <c r="H153" s="222"/>
      <c r="I153" s="222"/>
      <c r="J153" s="222"/>
      <c r="K153" s="222"/>
      <c r="L153" s="222"/>
    </row>
    <row r="154" spans="2:12" ht="13">
      <c r="B154" s="266" t="s">
        <v>141</v>
      </c>
      <c r="C154" s="267" t="s">
        <v>142</v>
      </c>
      <c r="D154" s="267" t="s">
        <v>82</v>
      </c>
      <c r="E154" s="269" t="s">
        <v>152</v>
      </c>
      <c r="F154" s="269"/>
      <c r="G154" s="268" t="s">
        <v>81</v>
      </c>
      <c r="H154" s="268" t="s">
        <v>143</v>
      </c>
      <c r="I154" s="268" t="s">
        <v>144</v>
      </c>
      <c r="J154" s="268" t="s">
        <v>145</v>
      </c>
      <c r="K154" s="268" t="s">
        <v>146</v>
      </c>
      <c r="L154" s="70"/>
    </row>
    <row r="155" spans="2:12" ht="13">
      <c r="B155" s="38" t="s">
        <v>290</v>
      </c>
      <c r="C155" s="67"/>
      <c r="D155" s="244" t="s">
        <v>135</v>
      </c>
      <c r="G155" s="293"/>
      <c r="H155" s="268"/>
      <c r="I155" s="268"/>
      <c r="J155" s="268"/>
      <c r="K155" s="268"/>
      <c r="L155" s="73"/>
    </row>
    <row r="156" spans="2:12" ht="13">
      <c r="B156" s="38" t="s">
        <v>291</v>
      </c>
      <c r="C156" s="67"/>
      <c r="D156" s="244" t="s">
        <v>135</v>
      </c>
      <c r="G156" s="293"/>
      <c r="H156" s="268"/>
      <c r="I156" s="268"/>
      <c r="J156" s="268"/>
      <c r="K156" s="268"/>
      <c r="L156" s="73"/>
    </row>
    <row r="157" spans="2:12" ht="13">
      <c r="B157" s="38" t="s">
        <v>292</v>
      </c>
      <c r="C157" s="67"/>
      <c r="D157" s="244" t="s">
        <v>135</v>
      </c>
      <c r="G157" s="293"/>
      <c r="H157" s="268"/>
      <c r="I157" s="268"/>
      <c r="J157" s="268"/>
      <c r="K157" s="268"/>
      <c r="L157" s="73"/>
    </row>
    <row r="158" spans="2:12" ht="13">
      <c r="B158" s="38" t="s">
        <v>293</v>
      </c>
      <c r="C158" s="67"/>
      <c r="D158" s="244" t="s">
        <v>135</v>
      </c>
      <c r="G158" s="293"/>
      <c r="H158" s="268"/>
      <c r="I158" s="268"/>
      <c r="J158" s="268"/>
      <c r="K158" s="268"/>
      <c r="L158" s="73"/>
    </row>
    <row r="159" spans="2:12" ht="13">
      <c r="B159" s="38" t="s">
        <v>294</v>
      </c>
      <c r="C159" s="67"/>
      <c r="D159" s="244" t="s">
        <v>135</v>
      </c>
      <c r="G159" s="293"/>
      <c r="H159" s="268"/>
      <c r="I159" s="268"/>
      <c r="J159" s="268"/>
      <c r="K159" s="268"/>
      <c r="L159" s="73"/>
    </row>
    <row r="160" spans="2:12" ht="13">
      <c r="B160" s="38" t="s">
        <v>295</v>
      </c>
      <c r="C160" s="294">
        <f>SUM(C155:C159)</f>
        <v>0</v>
      </c>
      <c r="D160" s="244" t="s">
        <v>135</v>
      </c>
      <c r="G160" s="268"/>
      <c r="H160" s="268"/>
      <c r="I160" s="268"/>
      <c r="J160" s="268"/>
      <c r="K160" s="268"/>
      <c r="L160" s="73"/>
    </row>
    <row r="161" spans="2:12" ht="13">
      <c r="B161" s="38" t="s">
        <v>296</v>
      </c>
      <c r="C161" s="79">
        <v>1</v>
      </c>
      <c r="G161" s="268"/>
      <c r="H161" s="268"/>
      <c r="I161" s="268"/>
      <c r="J161" s="268"/>
      <c r="K161" s="268"/>
      <c r="L161" s="70"/>
    </row>
    <row r="162" spans="2:12" ht="13">
      <c r="B162" s="38" t="s">
        <v>297</v>
      </c>
      <c r="C162" s="295">
        <f>C161*C160</f>
        <v>0</v>
      </c>
      <c r="D162" s="244" t="s">
        <v>135</v>
      </c>
      <c r="G162" s="268"/>
      <c r="H162" s="268"/>
      <c r="I162" s="268"/>
      <c r="J162" s="268"/>
      <c r="K162" s="268"/>
      <c r="L162" s="73"/>
    </row>
    <row r="163" spans="2:12" ht="13">
      <c r="B163" s="38" t="s">
        <v>298</v>
      </c>
      <c r="C163" s="320">
        <f>Growth_media_thickness</f>
        <v>0.15</v>
      </c>
      <c r="D163" s="244" t="s">
        <v>299</v>
      </c>
      <c r="G163" s="268"/>
      <c r="H163" s="268"/>
      <c r="I163" s="268"/>
      <c r="J163" s="268"/>
      <c r="K163" s="268"/>
      <c r="L163" s="70"/>
    </row>
    <row r="164" spans="2:12" ht="13">
      <c r="B164" s="38" t="s">
        <v>300</v>
      </c>
      <c r="C164" s="67"/>
      <c r="D164" s="244" t="s">
        <v>299</v>
      </c>
      <c r="G164" s="293" t="s">
        <v>304</v>
      </c>
      <c r="H164" s="268"/>
      <c r="I164" s="268"/>
      <c r="J164" s="268"/>
      <c r="K164" s="268"/>
      <c r="L164" s="73"/>
    </row>
    <row r="165" spans="2:12" ht="13">
      <c r="B165" s="15" t="s">
        <v>301</v>
      </c>
      <c r="C165" s="306">
        <f>C162*Square_metres_in_hectare*IF(C164=0,C163,C164)</f>
        <v>0</v>
      </c>
      <c r="D165" s="244" t="s">
        <v>302</v>
      </c>
      <c r="G165" s="268"/>
      <c r="H165" s="268"/>
      <c r="I165" s="268"/>
      <c r="J165" s="268"/>
      <c r="K165" s="268"/>
      <c r="L165" s="70"/>
    </row>
    <row r="166" spans="2:12" ht="13">
      <c r="B166" s="15" t="s">
        <v>303</v>
      </c>
      <c r="C166" s="79">
        <v>1</v>
      </c>
      <c r="G166" s="268"/>
      <c r="H166" s="268"/>
      <c r="I166" s="268"/>
      <c r="J166" s="268"/>
      <c r="K166" s="268"/>
      <c r="L166" s="73"/>
    </row>
    <row r="167" spans="2:12" ht="25">
      <c r="B167" s="15" t="s">
        <v>305</v>
      </c>
      <c r="C167" s="320">
        <f>C165*C166</f>
        <v>0</v>
      </c>
      <c r="D167" s="244" t="s">
        <v>302</v>
      </c>
      <c r="E167" s="70" t="s">
        <v>557</v>
      </c>
      <c r="G167" s="48">
        <f>_xlfn.XLOOKUP(E167,Load_haul_dump_growth_media_onsite_names_UR,Load_haul_dump_growth_media_onsite_rates_UR)</f>
        <v>5.3079018922489523</v>
      </c>
      <c r="H167" s="72"/>
      <c r="I167" s="49">
        <f>IF(H167="",G167,H167)</f>
        <v>5.3079018922489523</v>
      </c>
      <c r="J167" s="244" t="s">
        <v>302</v>
      </c>
      <c r="K167" s="46">
        <f>I167*C167</f>
        <v>0</v>
      </c>
      <c r="L167" s="70"/>
    </row>
    <row r="168" spans="2:12" ht="13">
      <c r="B168" s="15" t="s">
        <v>307</v>
      </c>
      <c r="C168" s="320">
        <f>C165-C167</f>
        <v>0</v>
      </c>
      <c r="D168" s="244" t="s">
        <v>302</v>
      </c>
      <c r="G168" s="48">
        <f>Top_soil_rate</f>
        <v>165</v>
      </c>
      <c r="H168" s="72"/>
      <c r="I168" s="49">
        <f>IF(H168="",G168,H168)</f>
        <v>165</v>
      </c>
      <c r="J168" s="244" t="s">
        <v>302</v>
      </c>
      <c r="K168" s="46">
        <f>I168*C168</f>
        <v>0</v>
      </c>
      <c r="L168" s="73"/>
    </row>
    <row r="169" spans="2:12" ht="13">
      <c r="B169" s="15" t="s">
        <v>308</v>
      </c>
      <c r="C169" s="320">
        <f>C168*_xlfn.XLOOKUP(E169,Load_haul_dump_soil_ameliorants_from_off_site_names_UR,Load_haul_dump_growth_media_distance_avg)</f>
        <v>0</v>
      </c>
      <c r="D169" s="263" t="s">
        <v>309</v>
      </c>
      <c r="E169" s="77" t="s">
        <v>310</v>
      </c>
      <c r="G169" s="48">
        <f>_xlfn.XLOOKUP(E169,Load_haul_dump_soil_ameliorants_from_off_site_names_UR,Load_haul_dump_soil_ameliorants_from_off_site_rates_UR)</f>
        <v>0.42336494510658307</v>
      </c>
      <c r="H169" s="72"/>
      <c r="I169" s="49">
        <f>IF(H169="",G169,H169)</f>
        <v>0.42336494510658307</v>
      </c>
      <c r="J169" s="244" t="s">
        <v>309</v>
      </c>
      <c r="K169" s="46">
        <f>I169*C169</f>
        <v>0</v>
      </c>
      <c r="L169" s="70"/>
    </row>
    <row r="170" spans="2:12">
      <c r="C170" s="291"/>
      <c r="L170" s="73"/>
    </row>
    <row r="171" spans="2:12" ht="13">
      <c r="B171" s="256" t="str">
        <f>B$22</f>
        <v>Totals</v>
      </c>
      <c r="C171" s="320">
        <f>C162</f>
        <v>0</v>
      </c>
      <c r="D171" s="244" t="s">
        <v>135</v>
      </c>
      <c r="H171" s="270" t="s">
        <v>311</v>
      </c>
      <c r="I171" s="40">
        <f>IF(C171=0,0,K171/C171)</f>
        <v>0</v>
      </c>
      <c r="J171" s="271" t="s">
        <v>324</v>
      </c>
      <c r="K171" s="98">
        <f>SUM(K155:K170)</f>
        <v>0</v>
      </c>
      <c r="L171" s="70"/>
    </row>
    <row r="172" spans="2:12">
      <c r="C172" s="289"/>
      <c r="L172" s="73"/>
    </row>
    <row r="173" spans="2:12" ht="13">
      <c r="B173" s="222" t="s">
        <v>312</v>
      </c>
      <c r="C173" s="222"/>
      <c r="D173" s="222"/>
      <c r="E173" s="222"/>
      <c r="F173" s="222"/>
      <c r="G173" s="222"/>
      <c r="H173" s="222"/>
      <c r="I173" s="222"/>
      <c r="J173" s="222"/>
      <c r="K173" s="222"/>
      <c r="L173" s="222"/>
    </row>
    <row r="174" spans="2:12" ht="13">
      <c r="B174" s="266" t="s">
        <v>141</v>
      </c>
      <c r="C174" s="267" t="s">
        <v>142</v>
      </c>
      <c r="D174" s="267" t="s">
        <v>82</v>
      </c>
      <c r="E174" s="269" t="s">
        <v>152</v>
      </c>
      <c r="F174" s="269"/>
      <c r="G174" s="268" t="s">
        <v>81</v>
      </c>
      <c r="H174" s="268" t="s">
        <v>143</v>
      </c>
      <c r="I174" s="268" t="s">
        <v>144</v>
      </c>
      <c r="J174" s="268" t="s">
        <v>145</v>
      </c>
      <c r="K174" s="268" t="s">
        <v>146</v>
      </c>
      <c r="L174" s="70"/>
    </row>
    <row r="175" spans="2:12" ht="13">
      <c r="B175" s="38" t="s">
        <v>290</v>
      </c>
      <c r="C175" s="67"/>
      <c r="D175" s="244" t="s">
        <v>135</v>
      </c>
      <c r="G175" s="293"/>
      <c r="H175" s="268"/>
      <c r="I175" s="268"/>
      <c r="J175" s="268"/>
      <c r="K175" s="268"/>
      <c r="L175" s="73"/>
    </row>
    <row r="176" spans="2:12" ht="13">
      <c r="B176" s="38" t="s">
        <v>291</v>
      </c>
      <c r="C176" s="67"/>
      <c r="D176" s="244" t="s">
        <v>135</v>
      </c>
      <c r="G176" s="293"/>
      <c r="H176" s="268"/>
      <c r="I176" s="268"/>
      <c r="J176" s="268"/>
      <c r="K176" s="268"/>
      <c r="L176" s="73"/>
    </row>
    <row r="177" spans="2:12" ht="13">
      <c r="B177" s="38" t="s">
        <v>292</v>
      </c>
      <c r="C177" s="67"/>
      <c r="D177" s="244" t="s">
        <v>135</v>
      </c>
      <c r="G177" s="293"/>
      <c r="H177" s="268"/>
      <c r="I177" s="268"/>
      <c r="J177" s="268"/>
      <c r="K177" s="268"/>
      <c r="L177" s="73"/>
    </row>
    <row r="178" spans="2:12" ht="13">
      <c r="B178" s="38" t="s">
        <v>293</v>
      </c>
      <c r="C178" s="67"/>
      <c r="D178" s="244" t="s">
        <v>135</v>
      </c>
      <c r="G178" s="293"/>
      <c r="H178" s="268"/>
      <c r="I178" s="268"/>
      <c r="J178" s="268"/>
      <c r="K178" s="268"/>
      <c r="L178" s="73"/>
    </row>
    <row r="179" spans="2:12" ht="13">
      <c r="B179" s="38" t="s">
        <v>294</v>
      </c>
      <c r="C179" s="67"/>
      <c r="D179" s="244" t="s">
        <v>135</v>
      </c>
      <c r="G179" s="293"/>
      <c r="H179" s="268"/>
      <c r="I179" s="268"/>
      <c r="J179" s="268"/>
      <c r="K179" s="268"/>
      <c r="L179" s="73"/>
    </row>
    <row r="180" spans="2:12" ht="13">
      <c r="B180" s="38" t="s">
        <v>295</v>
      </c>
      <c r="C180" s="294">
        <f>SUM(C175:C179)</f>
        <v>0</v>
      </c>
      <c r="D180" s="244" t="s">
        <v>135</v>
      </c>
      <c r="G180" s="267"/>
      <c r="H180" s="268"/>
      <c r="I180" s="268"/>
      <c r="J180" s="268"/>
      <c r="K180" s="268"/>
      <c r="L180" s="73"/>
    </row>
    <row r="181" spans="2:12" ht="13">
      <c r="B181" s="15" t="s">
        <v>313</v>
      </c>
      <c r="C181" s="79">
        <v>0</v>
      </c>
      <c r="D181" s="267"/>
      <c r="F181" s="268"/>
      <c r="G181" s="267"/>
      <c r="H181" s="268"/>
      <c r="I181" s="268"/>
      <c r="J181" s="268"/>
      <c r="K181" s="268"/>
      <c r="L181" s="70"/>
    </row>
    <row r="182" spans="2:12" ht="13">
      <c r="B182" s="15" t="s">
        <v>314</v>
      </c>
      <c r="C182" s="294">
        <f>C181*C180</f>
        <v>0</v>
      </c>
      <c r="D182" s="244" t="s">
        <v>135</v>
      </c>
      <c r="F182" s="268"/>
      <c r="G182" s="267"/>
      <c r="H182" s="268"/>
      <c r="I182" s="268"/>
      <c r="J182" s="268"/>
      <c r="K182" s="268"/>
      <c r="L182" s="73"/>
    </row>
    <row r="183" spans="2:12" ht="13">
      <c r="B183" s="15" t="s">
        <v>315</v>
      </c>
      <c r="C183" s="306">
        <f>_xlfn.XLOOKUP(E184,Ameliorants_soil_names_As,Ameliorants_app_rate)</f>
        <v>2</v>
      </c>
      <c r="D183" s="244" t="s">
        <v>316</v>
      </c>
      <c r="F183" s="268"/>
      <c r="G183" s="293" t="s">
        <v>304</v>
      </c>
      <c r="H183" s="268"/>
      <c r="I183" s="268"/>
      <c r="J183" s="268"/>
      <c r="K183" s="268"/>
      <c r="L183" s="70"/>
    </row>
    <row r="184" spans="2:12" ht="13">
      <c r="B184" s="15" t="s">
        <v>317</v>
      </c>
      <c r="C184" s="306">
        <f>C183*C182</f>
        <v>0</v>
      </c>
      <c r="D184" s="244" t="s">
        <v>318</v>
      </c>
      <c r="E184" s="77" t="s">
        <v>558</v>
      </c>
      <c r="F184" s="268"/>
      <c r="G184" s="48">
        <f>_xlfn.XLOOKUP(E184,Ameliorants_names,Ameliorants_rates)</f>
        <v>123</v>
      </c>
      <c r="H184" s="72"/>
      <c r="I184" s="49">
        <f>IF(H184="",G184,H184)</f>
        <v>123</v>
      </c>
      <c r="J184" s="244" t="s">
        <v>318</v>
      </c>
      <c r="K184" s="46">
        <f>I184*C184</f>
        <v>0</v>
      </c>
      <c r="L184" s="70"/>
    </row>
    <row r="185" spans="2:12" ht="13">
      <c r="B185" s="15" t="s">
        <v>320</v>
      </c>
      <c r="C185" s="320">
        <f>C184/Soil_density*_xlfn.XLOOKUP(E185,Load_haul_dump_soil_ameliorants_from_off_site_names_UR,Load_haul_dump_growth_media_distance_avg)</f>
        <v>0</v>
      </c>
      <c r="D185" s="244" t="s">
        <v>309</v>
      </c>
      <c r="E185" s="77" t="s">
        <v>321</v>
      </c>
      <c r="F185" s="268"/>
      <c r="G185" s="48">
        <f>_xlfn.XLOOKUP(E185,Load_haul_dump_soil_ameliorants_from_off_site_names_UR,Load_haul_dump_soil_ameliorants_from_off_site_rates_UR)</f>
        <v>0.26562499999999994</v>
      </c>
      <c r="H185" s="72"/>
      <c r="I185" s="49">
        <f>IF(H185="",G185,H185)</f>
        <v>0.26562499999999994</v>
      </c>
      <c r="J185" s="244" t="s">
        <v>309</v>
      </c>
      <c r="K185" s="46">
        <f>I185*C185</f>
        <v>0</v>
      </c>
      <c r="L185" s="73"/>
    </row>
    <row r="186" spans="2:12" ht="13">
      <c r="B186" s="15" t="s">
        <v>322</v>
      </c>
      <c r="C186" s="306">
        <f>C180</f>
        <v>0</v>
      </c>
      <c r="D186" s="244" t="s">
        <v>135</v>
      </c>
      <c r="F186" s="268"/>
      <c r="G186" s="39">
        <f>_xlfn.XLOOKUP(E184,Ameliorants_names,Ameliorants_rates_UR)</f>
        <v>2494.1763427996943</v>
      </c>
      <c r="H186" s="72"/>
      <c r="I186" s="49">
        <f>IF(H186="",G186,H186)</f>
        <v>2494.1763427996943</v>
      </c>
      <c r="J186" s="244" t="s">
        <v>135</v>
      </c>
      <c r="K186" s="46">
        <f>I186*C186</f>
        <v>0</v>
      </c>
      <c r="L186" s="70"/>
    </row>
    <row r="187" spans="2:12" ht="13">
      <c r="C187" s="291"/>
      <c r="F187" s="268"/>
      <c r="L187" s="73"/>
    </row>
    <row r="188" spans="2:12" ht="13">
      <c r="B188" s="256" t="str">
        <f>B$22</f>
        <v>Totals</v>
      </c>
      <c r="C188" s="306">
        <f>C182</f>
        <v>0</v>
      </c>
      <c r="D188" s="244" t="s">
        <v>135</v>
      </c>
      <c r="F188" s="268"/>
      <c r="H188" s="270" t="s">
        <v>323</v>
      </c>
      <c r="I188" s="40">
        <f>IF(C188=0,0,K188/C188)</f>
        <v>0</v>
      </c>
      <c r="J188" s="271" t="s">
        <v>324</v>
      </c>
      <c r="K188" s="98">
        <f>SUM(K174:K187)</f>
        <v>0</v>
      </c>
      <c r="L188" s="70"/>
    </row>
    <row r="189" spans="2:12" ht="13">
      <c r="F189" s="268"/>
      <c r="H189" s="270"/>
      <c r="I189" s="55"/>
      <c r="L189" s="73"/>
    </row>
    <row r="190" spans="2:12" ht="13">
      <c r="B190" s="222" t="s">
        <v>325</v>
      </c>
      <c r="C190" s="222"/>
      <c r="D190" s="222"/>
      <c r="E190" s="222"/>
      <c r="F190" s="222"/>
      <c r="G190" s="222"/>
      <c r="H190" s="222"/>
      <c r="I190" s="222"/>
      <c r="J190" s="222"/>
      <c r="K190" s="222"/>
      <c r="L190" s="222"/>
    </row>
    <row r="191" spans="2:12" ht="13">
      <c r="B191" s="266" t="s">
        <v>141</v>
      </c>
      <c r="C191" s="267" t="s">
        <v>142</v>
      </c>
      <c r="D191" s="267" t="s">
        <v>82</v>
      </c>
      <c r="E191" s="269" t="s">
        <v>152</v>
      </c>
      <c r="F191" s="269"/>
      <c r="G191" s="268" t="s">
        <v>81</v>
      </c>
      <c r="H191" s="268" t="s">
        <v>143</v>
      </c>
      <c r="I191" s="268" t="s">
        <v>144</v>
      </c>
      <c r="J191" s="268" t="s">
        <v>145</v>
      </c>
      <c r="K191" s="268" t="s">
        <v>146</v>
      </c>
      <c r="L191" s="70"/>
    </row>
    <row r="192" spans="2:12" ht="13">
      <c r="B192" s="38" t="s">
        <v>290</v>
      </c>
      <c r="C192" s="67"/>
      <c r="D192" s="244" t="s">
        <v>135</v>
      </c>
      <c r="G192" s="293"/>
      <c r="H192" s="268"/>
      <c r="I192" s="268"/>
      <c r="J192" s="268"/>
      <c r="K192" s="268"/>
      <c r="L192" s="73"/>
    </row>
    <row r="193" spans="2:12" ht="13">
      <c r="B193" s="38" t="s">
        <v>291</v>
      </c>
      <c r="C193" s="67"/>
      <c r="D193" s="244" t="s">
        <v>135</v>
      </c>
      <c r="G193" s="293"/>
      <c r="H193" s="268"/>
      <c r="I193" s="268"/>
      <c r="J193" s="268"/>
      <c r="K193" s="268"/>
      <c r="L193" s="73"/>
    </row>
    <row r="194" spans="2:12" ht="13">
      <c r="B194" s="38" t="s">
        <v>292</v>
      </c>
      <c r="C194" s="67"/>
      <c r="D194" s="244" t="s">
        <v>135</v>
      </c>
      <c r="G194" s="293"/>
      <c r="H194" s="268"/>
      <c r="I194" s="268"/>
      <c r="J194" s="268"/>
      <c r="K194" s="268"/>
      <c r="L194" s="73"/>
    </row>
    <row r="195" spans="2:12" ht="13">
      <c r="B195" s="38" t="s">
        <v>293</v>
      </c>
      <c r="C195" s="67"/>
      <c r="D195" s="244" t="s">
        <v>135</v>
      </c>
      <c r="G195" s="293"/>
      <c r="H195" s="268"/>
      <c r="I195" s="268"/>
      <c r="J195" s="268"/>
      <c r="K195" s="268"/>
      <c r="L195" s="73"/>
    </row>
    <row r="196" spans="2:12" ht="13">
      <c r="B196" s="38" t="s">
        <v>294</v>
      </c>
      <c r="C196" s="67"/>
      <c r="D196" s="244" t="s">
        <v>135</v>
      </c>
      <c r="G196" s="293"/>
      <c r="H196" s="268"/>
      <c r="I196" s="268"/>
      <c r="J196" s="268"/>
      <c r="K196" s="268"/>
      <c r="L196" s="73"/>
    </row>
    <row r="197" spans="2:12" ht="13">
      <c r="B197" s="38" t="s">
        <v>295</v>
      </c>
      <c r="C197" s="294">
        <f>SUM(C192:C196)</f>
        <v>0</v>
      </c>
      <c r="D197" s="244" t="s">
        <v>135</v>
      </c>
      <c r="L197" s="73"/>
    </row>
    <row r="198" spans="2:12">
      <c r="B198" s="15" t="s">
        <v>326</v>
      </c>
      <c r="C198" s="79">
        <v>1</v>
      </c>
      <c r="L198" s="70"/>
    </row>
    <row r="199" spans="2:12" ht="13">
      <c r="B199" s="15" t="s">
        <v>327</v>
      </c>
      <c r="C199" s="294">
        <f>C198*C197</f>
        <v>0</v>
      </c>
      <c r="D199" s="244" t="s">
        <v>135</v>
      </c>
      <c r="E199" s="70" t="s">
        <v>328</v>
      </c>
      <c r="G199" s="39">
        <f>_xlfn.XLOOKUP(E199,Revegetation_names_UR,Revegetation_rates_UR)</f>
        <v>3436.7496736236071</v>
      </c>
      <c r="H199" s="72"/>
      <c r="I199" s="49">
        <f>IF(H199="",G199,H199)</f>
        <v>3436.7496736236071</v>
      </c>
      <c r="J199" s="244" t="s">
        <v>135</v>
      </c>
      <c r="K199" s="46">
        <f>I199*C199</f>
        <v>0</v>
      </c>
      <c r="L199" s="73"/>
    </row>
    <row r="200" spans="2:12">
      <c r="C200" s="291"/>
      <c r="L200" s="70"/>
    </row>
    <row r="201" spans="2:12" ht="13">
      <c r="B201" s="256" t="str">
        <f>B$22</f>
        <v>Totals</v>
      </c>
      <c r="C201" s="306">
        <f>C199</f>
        <v>0</v>
      </c>
      <c r="D201" s="244" t="s">
        <v>135</v>
      </c>
      <c r="G201" s="263"/>
      <c r="H201" s="280" t="s">
        <v>329</v>
      </c>
      <c r="I201" s="40">
        <f>IF(C201=0,0,K201/C201)</f>
        <v>0</v>
      </c>
      <c r="J201" s="271" t="s">
        <v>324</v>
      </c>
      <c r="K201" s="98">
        <f>SUM(K191:K200)</f>
        <v>0</v>
      </c>
      <c r="L201" s="73"/>
    </row>
    <row r="202" spans="2:12">
      <c r="C202" s="346"/>
      <c r="L202" s="70"/>
    </row>
    <row r="203" spans="2:12" ht="13">
      <c r="B203" s="222" t="s">
        <v>559</v>
      </c>
      <c r="C203" s="222"/>
      <c r="D203" s="222"/>
      <c r="E203" s="222"/>
      <c r="F203" s="222"/>
      <c r="G203" s="222"/>
      <c r="H203" s="222"/>
      <c r="I203" s="222"/>
      <c r="J203" s="222"/>
      <c r="K203" s="222"/>
      <c r="L203" s="222"/>
    </row>
    <row r="204" spans="2:12" ht="13">
      <c r="B204" s="266" t="s">
        <v>141</v>
      </c>
      <c r="C204" s="267" t="s">
        <v>142</v>
      </c>
      <c r="D204" s="267" t="s">
        <v>82</v>
      </c>
      <c r="E204" s="269" t="s">
        <v>152</v>
      </c>
      <c r="F204" s="269"/>
      <c r="G204" s="268" t="s">
        <v>81</v>
      </c>
      <c r="H204" s="268" t="s">
        <v>143</v>
      </c>
      <c r="I204" s="268" t="s">
        <v>144</v>
      </c>
      <c r="J204" s="268" t="s">
        <v>145</v>
      </c>
      <c r="K204" s="268" t="s">
        <v>146</v>
      </c>
      <c r="L204" s="70"/>
    </row>
    <row r="205" spans="2:12">
      <c r="B205" s="38" t="s">
        <v>560</v>
      </c>
      <c r="C205" s="284">
        <f>C$15</f>
        <v>0</v>
      </c>
      <c r="D205" s="244" t="s">
        <v>537</v>
      </c>
      <c r="E205" s="343" t="str">
        <f>C$14</f>
        <v>Select make and model</v>
      </c>
      <c r="L205" s="73"/>
    </row>
    <row r="206" spans="2:12">
      <c r="B206" s="15" t="s">
        <v>331</v>
      </c>
      <c r="C206" s="66">
        <f>_xlfn.XLOOKUP(E207,Long_haul_names_modules_UR,Load_haul_dump_modules_distance_avg)</f>
        <v>250</v>
      </c>
      <c r="D206" s="244" t="s">
        <v>155</v>
      </c>
      <c r="L206" s="73"/>
    </row>
    <row r="207" spans="2:12" ht="13">
      <c r="B207" s="15" t="s">
        <v>332</v>
      </c>
      <c r="C207" s="342">
        <f>C206*C205</f>
        <v>0</v>
      </c>
      <c r="D207" s="244" t="s">
        <v>542</v>
      </c>
      <c r="E207" s="77" t="s">
        <v>1365</v>
      </c>
      <c r="G207" s="48">
        <f>_xlfn.XLOOKUP(E207,Long_haul_names_modules_UR,Long_haul_rates_modules_UR)</f>
        <v>21.709942329873126</v>
      </c>
      <c r="H207" s="72"/>
      <c r="I207" s="49">
        <f>IF(H207="",G207,H207)</f>
        <v>21.709942329873126</v>
      </c>
      <c r="J207" s="244" t="s">
        <v>542</v>
      </c>
      <c r="K207" s="46">
        <f>I207*C207</f>
        <v>0</v>
      </c>
      <c r="L207" s="73"/>
    </row>
    <row r="208" spans="2:12" ht="13">
      <c r="B208" s="57" t="s">
        <v>1366</v>
      </c>
      <c r="C208" s="69"/>
      <c r="D208" s="244" t="s">
        <v>537</v>
      </c>
      <c r="E208" s="80" t="s">
        <v>561</v>
      </c>
      <c r="G208" s="48">
        <f>_xlfn.XLOOKUP(E208,Rates!B122:B123,Rates!D122:D123)</f>
        <v>100</v>
      </c>
      <c r="H208" s="72"/>
      <c r="I208" s="49">
        <f>IF(H208="",G208,H208)</f>
        <v>100</v>
      </c>
      <c r="J208" s="244" t="s">
        <v>318</v>
      </c>
      <c r="K208" s="46">
        <f>I208*C208</f>
        <v>0</v>
      </c>
      <c r="L208" s="218" t="s">
        <v>1367</v>
      </c>
    </row>
    <row r="209" spans="2:12">
      <c r="C209" s="291"/>
      <c r="L209" s="73"/>
    </row>
    <row r="210" spans="2:12" ht="13">
      <c r="B210" s="256" t="str">
        <f>B$22</f>
        <v>Totals</v>
      </c>
      <c r="C210" s="347">
        <f>C205</f>
        <v>0</v>
      </c>
      <c r="D210" s="244" t="s">
        <v>112</v>
      </c>
      <c r="G210" s="263"/>
      <c r="H210" s="280" t="s">
        <v>562</v>
      </c>
      <c r="I210" s="49">
        <f>IF(C210=0,0,K210/C210)</f>
        <v>0</v>
      </c>
      <c r="J210" s="271" t="s">
        <v>549</v>
      </c>
      <c r="K210" s="98">
        <f>SUM(K204:K209)</f>
        <v>0</v>
      </c>
      <c r="L210" s="70"/>
    </row>
    <row r="211" spans="2:12">
      <c r="L211" s="70"/>
    </row>
    <row r="212" spans="2:12" ht="13">
      <c r="B212" s="222" t="s">
        <v>563</v>
      </c>
      <c r="C212" s="222"/>
      <c r="D212" s="222"/>
      <c r="E212" s="222"/>
      <c r="F212" s="222"/>
      <c r="G212" s="222"/>
      <c r="H212" s="222"/>
      <c r="I212" s="222"/>
      <c r="J212" s="222"/>
      <c r="K212" s="222"/>
      <c r="L212" s="222"/>
    </row>
    <row r="213" spans="2:12" ht="13">
      <c r="B213" s="266" t="s">
        <v>141</v>
      </c>
      <c r="C213" s="267" t="s">
        <v>142</v>
      </c>
      <c r="D213" s="267" t="s">
        <v>82</v>
      </c>
      <c r="E213" s="269" t="s">
        <v>152</v>
      </c>
      <c r="F213" s="269"/>
      <c r="G213" s="268" t="s">
        <v>81</v>
      </c>
      <c r="H213" s="268" t="s">
        <v>143</v>
      </c>
      <c r="I213" s="268" t="s">
        <v>144</v>
      </c>
      <c r="J213" s="268" t="s">
        <v>145</v>
      </c>
      <c r="K213" s="268" t="s">
        <v>146</v>
      </c>
      <c r="L213" s="70"/>
    </row>
    <row r="214" spans="2:12">
      <c r="B214" s="38" t="s">
        <v>560</v>
      </c>
      <c r="C214" s="284">
        <f>C$15</f>
        <v>0</v>
      </c>
      <c r="D214" s="244" t="s">
        <v>537</v>
      </c>
      <c r="E214" s="343" t="str">
        <f>C$14</f>
        <v>Select make and model</v>
      </c>
      <c r="L214" s="73"/>
    </row>
    <row r="215" spans="2:12">
      <c r="B215" s="15" t="s">
        <v>331</v>
      </c>
      <c r="C215" s="66">
        <f>_xlfn.XLOOKUP(E216,Long_haul_names_modules_UR,Load_haul_dump_modules_distance_avg)</f>
        <v>37.5</v>
      </c>
      <c r="D215" s="244" t="s">
        <v>155</v>
      </c>
      <c r="L215" s="73"/>
    </row>
    <row r="216" spans="2:12" ht="13">
      <c r="B216" s="15" t="s">
        <v>332</v>
      </c>
      <c r="C216" s="342">
        <f>C215*C214</f>
        <v>0</v>
      </c>
      <c r="D216" s="244" t="s">
        <v>542</v>
      </c>
      <c r="E216" s="77" t="s">
        <v>1370</v>
      </c>
      <c r="G216" s="48">
        <f>_xlfn.XLOOKUP(E216,Long_haul_names_modules_UR,Long_haul_rates_modules_UR)</f>
        <v>50.554786620530571</v>
      </c>
      <c r="H216" s="72"/>
      <c r="I216" s="49">
        <f>IF(H216="",G216,H216)</f>
        <v>50.554786620530571</v>
      </c>
      <c r="J216" s="244" t="s">
        <v>542</v>
      </c>
      <c r="K216" s="46">
        <f>I216*C216</f>
        <v>0</v>
      </c>
      <c r="L216" s="73"/>
    </row>
    <row r="217" spans="2:12" ht="13">
      <c r="B217" s="57" t="s">
        <v>334</v>
      </c>
      <c r="C217" s="320">
        <f>(_xlfn.XLOOKUP(E214,BESS_models,BESS_mass)*C214)</f>
        <v>0</v>
      </c>
      <c r="D217" s="244" t="s">
        <v>318</v>
      </c>
      <c r="E217" s="80" t="s">
        <v>565</v>
      </c>
      <c r="G217" s="48">
        <f>_xlfn.XLOOKUP(E217,Rates!B122:B123,Rates!D122:D123)</f>
        <v>0</v>
      </c>
      <c r="H217" s="72"/>
      <c r="I217" s="49">
        <f>IF(H217="",G217,H217)</f>
        <v>0</v>
      </c>
      <c r="J217" s="244" t="s">
        <v>318</v>
      </c>
      <c r="K217" s="46">
        <f>I217*C217</f>
        <v>0</v>
      </c>
      <c r="L217" s="73"/>
    </row>
    <row r="218" spans="2:12" ht="13">
      <c r="B218" s="57" t="s">
        <v>336</v>
      </c>
      <c r="C218" s="320">
        <f>(_xlfn.XLOOKUP(E214,BESS_models,BESS_mass)*C214)</f>
        <v>0</v>
      </c>
      <c r="D218" s="244" t="s">
        <v>318</v>
      </c>
      <c r="E218" s="77" t="s">
        <v>342</v>
      </c>
      <c r="G218" s="48">
        <f>_xlfn.XLOOKUP(E218,Waste_levy_names,Waste_levy_rates)</f>
        <v>85.5</v>
      </c>
      <c r="H218" s="72"/>
      <c r="I218" s="49">
        <f>IF(H218="",G218,H218)</f>
        <v>85.5</v>
      </c>
      <c r="J218" s="244" t="s">
        <v>318</v>
      </c>
      <c r="K218" s="46">
        <f>I218*C218</f>
        <v>0</v>
      </c>
      <c r="L218" s="70"/>
    </row>
    <row r="219" spans="2:12">
      <c r="C219" s="291"/>
      <c r="L219" s="73"/>
    </row>
    <row r="220" spans="2:12" ht="13">
      <c r="B220" s="256" t="str">
        <f>B$22</f>
        <v>Totals</v>
      </c>
      <c r="C220" s="347">
        <f>C214</f>
        <v>0</v>
      </c>
      <c r="D220" s="244" t="s">
        <v>112</v>
      </c>
      <c r="G220" s="263"/>
      <c r="H220" s="280" t="s">
        <v>566</v>
      </c>
      <c r="I220" s="49">
        <f>IF(C220=0,0,K220/C220)</f>
        <v>0</v>
      </c>
      <c r="J220" s="271" t="s">
        <v>549</v>
      </c>
      <c r="K220" s="98">
        <f>SUM(K213:K219)</f>
        <v>0</v>
      </c>
      <c r="L220" s="70"/>
    </row>
    <row r="221" spans="2:12">
      <c r="L221" s="70"/>
    </row>
    <row r="222" spans="2:12" ht="13">
      <c r="B222" s="222" t="s">
        <v>344</v>
      </c>
      <c r="C222" s="222"/>
      <c r="D222" s="222"/>
      <c r="E222" s="222"/>
      <c r="F222" s="222"/>
      <c r="G222" s="222"/>
      <c r="H222" s="222"/>
      <c r="I222" s="222"/>
      <c r="J222" s="222"/>
      <c r="K222" s="222"/>
      <c r="L222" s="222"/>
    </row>
    <row r="223" spans="2:12" s="263" customFormat="1" ht="21" customHeight="1">
      <c r="B223" s="302" t="s">
        <v>141</v>
      </c>
      <c r="C223" s="303" t="s">
        <v>142</v>
      </c>
      <c r="D223" s="303" t="s">
        <v>82</v>
      </c>
      <c r="E223" s="303" t="s">
        <v>152</v>
      </c>
      <c r="F223" s="303"/>
      <c r="G223" s="304" t="s">
        <v>81</v>
      </c>
      <c r="H223" s="304" t="s">
        <v>143</v>
      </c>
      <c r="I223" s="304" t="s">
        <v>144</v>
      </c>
      <c r="J223" s="304" t="s">
        <v>145</v>
      </c>
      <c r="K223" s="304" t="s">
        <v>146</v>
      </c>
      <c r="L223" s="305" t="s">
        <v>345</v>
      </c>
    </row>
    <row r="224" spans="2:12" s="263" customFormat="1">
      <c r="B224" s="38" t="s">
        <v>346</v>
      </c>
      <c r="C224" s="67"/>
      <c r="D224" s="263" t="s">
        <v>274</v>
      </c>
      <c r="L224" s="82"/>
    </row>
    <row r="225" spans="2:12" s="263" customFormat="1">
      <c r="B225" s="38" t="s">
        <v>347</v>
      </c>
      <c r="C225" s="67"/>
      <c r="D225" s="263" t="s">
        <v>274</v>
      </c>
      <c r="L225" s="82"/>
    </row>
    <row r="226" spans="2:12" s="263" customFormat="1">
      <c r="B226" s="81" t="s">
        <v>348</v>
      </c>
      <c r="C226" s="67"/>
      <c r="D226" s="263" t="s">
        <v>274</v>
      </c>
      <c r="L226" s="82"/>
    </row>
    <row r="227" spans="2:12" s="263" customFormat="1">
      <c r="B227" s="81" t="s">
        <v>348</v>
      </c>
      <c r="C227" s="67"/>
      <c r="D227" s="263" t="s">
        <v>274</v>
      </c>
      <c r="L227" s="82"/>
    </row>
    <row r="228" spans="2:12" s="263" customFormat="1">
      <c r="B228" s="81" t="s">
        <v>348</v>
      </c>
      <c r="C228" s="67"/>
      <c r="D228" s="263" t="s">
        <v>274</v>
      </c>
      <c r="L228" s="82"/>
    </row>
    <row r="229" spans="2:12" s="263" customFormat="1" ht="13">
      <c r="B229" s="38" t="s">
        <v>349</v>
      </c>
      <c r="C229" s="294">
        <f>SUM(C224:C228)</f>
        <v>0</v>
      </c>
      <c r="D229" s="263" t="s">
        <v>274</v>
      </c>
      <c r="L229" s="82"/>
    </row>
    <row r="230" spans="2:12" s="263" customFormat="1">
      <c r="B230" s="15" t="s">
        <v>298</v>
      </c>
      <c r="C230" s="306">
        <f>Concrete_default_thickness</f>
        <v>0.2</v>
      </c>
      <c r="D230" s="263" t="s">
        <v>299</v>
      </c>
      <c r="L230" s="82"/>
    </row>
    <row r="231" spans="2:12" s="263" customFormat="1" ht="13">
      <c r="B231" s="15" t="s">
        <v>300</v>
      </c>
      <c r="C231" s="67"/>
      <c r="D231" s="263" t="s">
        <v>299</v>
      </c>
      <c r="E231" s="307" t="s">
        <v>350</v>
      </c>
      <c r="L231" s="82"/>
    </row>
    <row r="232" spans="2:12" s="263" customFormat="1" ht="13">
      <c r="B232" s="15" t="s">
        <v>351</v>
      </c>
      <c r="C232" s="67"/>
      <c r="D232" s="263" t="s">
        <v>302</v>
      </c>
      <c r="E232" s="307" t="s">
        <v>352</v>
      </c>
      <c r="L232" s="82"/>
    </row>
    <row r="233" spans="2:12" s="263" customFormat="1">
      <c r="B233" s="15" t="s">
        <v>353</v>
      </c>
      <c r="C233" s="298">
        <f>IF(C232=0,C229*IF(C231=0,C230,C231),C232)</f>
        <v>0</v>
      </c>
      <c r="D233" s="263" t="s">
        <v>302</v>
      </c>
      <c r="L233" s="82"/>
    </row>
    <row r="234" spans="2:12" s="263" customFormat="1" ht="25">
      <c r="B234" s="15" t="s">
        <v>354</v>
      </c>
      <c r="C234" s="306">
        <f>C233</f>
        <v>0</v>
      </c>
      <c r="D234" s="263" t="s">
        <v>302</v>
      </c>
      <c r="E234" s="76" t="s">
        <v>511</v>
      </c>
      <c r="G234" s="48">
        <f>_xlfn.XLOOKUP(E234,Load_haul_dump_concrete_onsite_names_UR,Load_haul_dump_concrete_onsite_rates_UR)</f>
        <v>4.6943198095050924</v>
      </c>
      <c r="H234" s="72"/>
      <c r="I234" s="49">
        <f>IF(H234="",G234,H234)</f>
        <v>4.6943198095050924</v>
      </c>
      <c r="J234" s="263" t="str">
        <f>D234</f>
        <v>m3</v>
      </c>
      <c r="K234" s="50">
        <f>I234*C234</f>
        <v>0</v>
      </c>
      <c r="L234" s="82"/>
    </row>
    <row r="235" spans="2:12" s="263" customFormat="1" ht="13">
      <c r="B235" s="15" t="s">
        <v>356</v>
      </c>
      <c r="C235" s="306">
        <f>C233*Concrete_density</f>
        <v>0</v>
      </c>
      <c r="D235" s="263" t="s">
        <v>318</v>
      </c>
      <c r="E235" s="76" t="s">
        <v>567</v>
      </c>
      <c r="G235" s="48">
        <f>_xlfn.XLOOKUP(E235,Concrete_crush_names_UR,Concrete_crush_rates_UR)</f>
        <v>17.021248792991859</v>
      </c>
      <c r="H235" s="72"/>
      <c r="I235" s="49">
        <f>IF(H235="",G235,H235)</f>
        <v>17.021248792991859</v>
      </c>
      <c r="J235" s="263" t="str">
        <f>D235</f>
        <v>t</v>
      </c>
      <c r="K235" s="50">
        <f>I235*C235</f>
        <v>0</v>
      </c>
      <c r="L235" s="82"/>
    </row>
    <row r="236" spans="2:12" s="263" customFormat="1" ht="25">
      <c r="B236" s="15" t="s">
        <v>358</v>
      </c>
      <c r="C236" s="306">
        <f>C233</f>
        <v>0</v>
      </c>
      <c r="D236" s="263" t="s">
        <v>302</v>
      </c>
      <c r="E236" s="76" t="s">
        <v>511</v>
      </c>
      <c r="G236" s="48">
        <f>_xlfn.XLOOKUP(E236,Load_haul_dump_concrete_onsite_names_UR,Load_haul_dump_concrete_onsite_rates_UR)</f>
        <v>4.6943198095050924</v>
      </c>
      <c r="H236" s="72"/>
      <c r="I236" s="49">
        <f>IF(H236="",G236,H236)</f>
        <v>4.6943198095050924</v>
      </c>
      <c r="J236" s="263" t="str">
        <f>D236</f>
        <v>m3</v>
      </c>
      <c r="K236" s="50">
        <f>I236*C236</f>
        <v>0</v>
      </c>
      <c r="L236" s="82"/>
    </row>
    <row r="237" spans="2:12" s="263" customFormat="1">
      <c r="C237" s="339"/>
      <c r="L237" s="82"/>
    </row>
    <row r="238" spans="2:12" s="263" customFormat="1" ht="13">
      <c r="B238" s="256" t="str">
        <f>B$22</f>
        <v>Totals</v>
      </c>
      <c r="C238" s="320">
        <f>C233</f>
        <v>0</v>
      </c>
      <c r="D238" s="263" t="s">
        <v>302</v>
      </c>
      <c r="H238" s="280" t="s">
        <v>360</v>
      </c>
      <c r="I238" s="58">
        <f>IF(C238=0,0,K238/C238)</f>
        <v>0</v>
      </c>
      <c r="J238" s="281" t="s">
        <v>361</v>
      </c>
      <c r="K238" s="44">
        <f>SUM(K223:K237)</f>
        <v>0</v>
      </c>
      <c r="L238" s="82"/>
    </row>
    <row r="239" spans="2:12" s="263" customFormat="1" ht="13">
      <c r="I239" s="58">
        <f>I238/Concrete_density</f>
        <v>0</v>
      </c>
      <c r="J239" s="281" t="s">
        <v>318</v>
      </c>
      <c r="L239" s="82"/>
    </row>
    <row r="240" spans="2:12" s="263" customFormat="1">
      <c r="L240" s="82"/>
    </row>
    <row r="241" spans="2:12" ht="13">
      <c r="B241" s="222" t="s">
        <v>362</v>
      </c>
      <c r="C241" s="222"/>
      <c r="D241" s="222"/>
      <c r="E241" s="222"/>
      <c r="F241" s="222"/>
      <c r="G241" s="222"/>
      <c r="H241" s="222"/>
      <c r="I241" s="222"/>
      <c r="J241" s="222"/>
      <c r="K241" s="222"/>
      <c r="L241" s="222"/>
    </row>
    <row r="242" spans="2:12" ht="13">
      <c r="B242" s="266" t="s">
        <v>141</v>
      </c>
      <c r="C242" s="267" t="s">
        <v>142</v>
      </c>
      <c r="D242" s="267" t="s">
        <v>82</v>
      </c>
      <c r="E242" s="269" t="s">
        <v>152</v>
      </c>
      <c r="F242" s="269"/>
      <c r="G242" s="268" t="s">
        <v>81</v>
      </c>
      <c r="H242" s="268" t="s">
        <v>143</v>
      </c>
      <c r="I242" s="268" t="s">
        <v>144</v>
      </c>
      <c r="J242" s="268" t="s">
        <v>145</v>
      </c>
      <c r="K242" s="268" t="s">
        <v>146</v>
      </c>
      <c r="L242" s="70"/>
    </row>
    <row r="243" spans="2:12">
      <c r="B243" s="38" t="s">
        <v>363</v>
      </c>
      <c r="C243" s="67"/>
      <c r="D243" s="244" t="s">
        <v>318</v>
      </c>
      <c r="L243" s="73"/>
    </row>
    <row r="244" spans="2:12">
      <c r="B244" s="15" t="s">
        <v>331</v>
      </c>
      <c r="C244" s="66">
        <f>_xlfn.XLOOKUP(E245,Long_haul_names_concrete_UR,Load_haul_dump_rubble_distance_avg)</f>
        <v>17.5</v>
      </c>
      <c r="D244" s="244" t="s">
        <v>155</v>
      </c>
      <c r="L244" s="73"/>
    </row>
    <row r="245" spans="2:12" ht="13">
      <c r="B245" s="15" t="s">
        <v>332</v>
      </c>
      <c r="C245" s="342">
        <f>C244*C243</f>
        <v>0</v>
      </c>
      <c r="D245" s="244" t="s">
        <v>169</v>
      </c>
      <c r="E245" s="77" t="s">
        <v>364</v>
      </c>
      <c r="G245" s="48">
        <f>_xlfn.XLOOKUP(E245,Long_haul_names_concrete_UR,Long_haul_rates_concrete_UR)</f>
        <v>1.4941927376370074</v>
      </c>
      <c r="H245" s="72"/>
      <c r="I245" s="49">
        <f>IF(H245="",G245,H245)</f>
        <v>1.4941927376370074</v>
      </c>
      <c r="J245" s="244" t="s">
        <v>169</v>
      </c>
      <c r="K245" s="46">
        <f>I245*C245</f>
        <v>0</v>
      </c>
      <c r="L245" s="73"/>
    </row>
    <row r="246" spans="2:12" ht="13">
      <c r="B246" s="57" t="s">
        <v>334</v>
      </c>
      <c r="C246" s="320">
        <f>C243</f>
        <v>0</v>
      </c>
      <c r="D246" s="244" t="s">
        <v>318</v>
      </c>
      <c r="E246" s="300" t="str">
        <f>Disposal_gate_fee_Construction_Debris</f>
        <v>Disposal (gate fee) construction debris</v>
      </c>
      <c r="G246" s="48">
        <f>Disposal_gate_fee_Construction_Debris_rate</f>
        <v>70</v>
      </c>
      <c r="H246" s="72"/>
      <c r="I246" s="49">
        <f>IF(H246="",G246,H246)</f>
        <v>70</v>
      </c>
      <c r="J246" s="244" t="s">
        <v>318</v>
      </c>
      <c r="K246" s="46">
        <f>I246*C246</f>
        <v>0</v>
      </c>
      <c r="L246" s="73"/>
    </row>
    <row r="247" spans="2:12" ht="13">
      <c r="B247" s="57" t="s">
        <v>336</v>
      </c>
      <c r="C247" s="320">
        <f>C243</f>
        <v>0</v>
      </c>
      <c r="D247" s="244" t="s">
        <v>318</v>
      </c>
      <c r="E247" s="77" t="s">
        <v>342</v>
      </c>
      <c r="G247" s="48">
        <f>_xlfn.XLOOKUP(E247,Waste_levy_names,Waste_levy_rates)</f>
        <v>85.5</v>
      </c>
      <c r="H247" s="72"/>
      <c r="I247" s="49">
        <f>IF(H247="",G247,H247)</f>
        <v>85.5</v>
      </c>
      <c r="J247" s="244" t="s">
        <v>318</v>
      </c>
      <c r="K247" s="46">
        <f>I247*C247</f>
        <v>0</v>
      </c>
      <c r="L247" s="70"/>
    </row>
    <row r="248" spans="2:12">
      <c r="C248" s="291"/>
      <c r="L248" s="73"/>
    </row>
    <row r="249" spans="2:12" ht="13">
      <c r="B249" s="256" t="str">
        <f>B$22</f>
        <v>Totals</v>
      </c>
      <c r="C249" s="306">
        <f>C243</f>
        <v>0</v>
      </c>
      <c r="D249" s="244" t="s">
        <v>318</v>
      </c>
      <c r="G249" s="263"/>
      <c r="H249" s="280" t="s">
        <v>365</v>
      </c>
      <c r="I249" s="40">
        <f>IF(C249=0,0,K249/C249)</f>
        <v>0</v>
      </c>
      <c r="J249" s="281" t="s">
        <v>514</v>
      </c>
      <c r="K249" s="98">
        <f>SUM(K242:K248)</f>
        <v>0</v>
      </c>
      <c r="L249" s="70"/>
    </row>
    <row r="250" spans="2:12">
      <c r="L250" s="70"/>
    </row>
    <row r="251" spans="2:12" ht="13">
      <c r="B251" s="222" t="s">
        <v>367</v>
      </c>
      <c r="C251" s="222"/>
      <c r="D251" s="222"/>
      <c r="E251" s="222"/>
      <c r="F251" s="222"/>
      <c r="G251" s="222"/>
      <c r="H251" s="222"/>
      <c r="I251" s="222"/>
      <c r="J251" s="222"/>
      <c r="K251" s="222"/>
      <c r="L251" s="222"/>
    </row>
    <row r="252" spans="2:12" ht="13">
      <c r="B252" s="266" t="s">
        <v>141</v>
      </c>
      <c r="C252" s="267" t="s">
        <v>142</v>
      </c>
      <c r="D252" s="267" t="s">
        <v>82</v>
      </c>
      <c r="E252" s="269" t="s">
        <v>152</v>
      </c>
      <c r="F252" s="269"/>
      <c r="G252" s="268" t="s">
        <v>81</v>
      </c>
      <c r="H252" s="268" t="s">
        <v>143</v>
      </c>
      <c r="I252" s="268" t="s">
        <v>144</v>
      </c>
      <c r="J252" s="268" t="s">
        <v>145</v>
      </c>
      <c r="K252" s="268" t="s">
        <v>146</v>
      </c>
      <c r="L252" s="70"/>
    </row>
    <row r="253" spans="2:12">
      <c r="B253" s="38" t="s">
        <v>368</v>
      </c>
      <c r="C253" s="67"/>
      <c r="D253" s="244" t="s">
        <v>318</v>
      </c>
      <c r="L253" s="73"/>
    </row>
    <row r="254" spans="2:12">
      <c r="B254" s="15" t="s">
        <v>331</v>
      </c>
      <c r="C254" s="66">
        <f>_xlfn.XLOOKUP(E255,Long_haul_names_steel_UR,Load_haul_dump_steel_distance_avg)</f>
        <v>22.5</v>
      </c>
      <c r="D254" s="244" t="s">
        <v>155</v>
      </c>
      <c r="L254" s="73"/>
    </row>
    <row r="255" spans="2:12" ht="13">
      <c r="B255" s="15" t="s">
        <v>332</v>
      </c>
      <c r="C255" s="342">
        <f>C254*C253</f>
        <v>0</v>
      </c>
      <c r="D255" s="244" t="s">
        <v>169</v>
      </c>
      <c r="E255" s="77" t="s">
        <v>369</v>
      </c>
      <c r="G255" s="48">
        <f>_xlfn.XLOOKUP(E255,Long_haul_names_steel_UR,Long_haul_rates_steel_UR)</f>
        <v>2.4064462386261694</v>
      </c>
      <c r="H255" s="72"/>
      <c r="I255" s="49">
        <f>IF(H255="",G255,H255)</f>
        <v>2.4064462386261694</v>
      </c>
      <c r="J255" s="244" t="s">
        <v>169</v>
      </c>
      <c r="K255" s="46">
        <f>I255*C255</f>
        <v>0</v>
      </c>
      <c r="L255" s="73"/>
    </row>
    <row r="256" spans="2:12" ht="13">
      <c r="B256" s="57" t="s">
        <v>334</v>
      </c>
      <c r="C256" s="320">
        <f>C253</f>
        <v>0</v>
      </c>
      <c r="D256" s="244" t="s">
        <v>318</v>
      </c>
      <c r="E256" s="300" t="str">
        <f>Rates!B110</f>
        <v>Disposal (gate fee) steel</v>
      </c>
      <c r="G256" s="48">
        <f>Disposal_gate_fee_Steel</f>
        <v>0</v>
      </c>
      <c r="H256" s="72"/>
      <c r="I256" s="49">
        <f>IF(H256="",G256,H256)</f>
        <v>0</v>
      </c>
      <c r="J256" s="244" t="s">
        <v>318</v>
      </c>
      <c r="K256" s="46">
        <f>I256*C256</f>
        <v>0</v>
      </c>
      <c r="L256" s="73"/>
    </row>
    <row r="257" spans="2:12" ht="13">
      <c r="B257" s="57" t="s">
        <v>336</v>
      </c>
      <c r="C257" s="320">
        <f>C253</f>
        <v>0</v>
      </c>
      <c r="D257" s="244" t="s">
        <v>318</v>
      </c>
      <c r="E257" s="77" t="s">
        <v>342</v>
      </c>
      <c r="G257" s="48">
        <f>_xlfn.XLOOKUP(E257,Waste_levy_names,Waste_levy_rates)</f>
        <v>85.5</v>
      </c>
      <c r="H257" s="72"/>
      <c r="I257" s="49">
        <f>IF(H257="",G257,H257)</f>
        <v>85.5</v>
      </c>
      <c r="J257" s="244" t="s">
        <v>318</v>
      </c>
      <c r="K257" s="46">
        <f>I257*C257</f>
        <v>0</v>
      </c>
      <c r="L257" s="73"/>
    </row>
    <row r="258" spans="2:12">
      <c r="C258" s="291"/>
      <c r="L258" s="73"/>
    </row>
    <row r="259" spans="2:12" ht="13">
      <c r="B259" s="256" t="str">
        <f>B$22</f>
        <v>Totals</v>
      </c>
      <c r="C259" s="306">
        <f>C253</f>
        <v>0</v>
      </c>
      <c r="D259" s="244" t="s">
        <v>318</v>
      </c>
      <c r="G259" s="263"/>
      <c r="H259" s="280" t="s">
        <v>371</v>
      </c>
      <c r="I259" s="40">
        <f>IF(C259=0,0,K259/C259)</f>
        <v>0</v>
      </c>
      <c r="J259" s="281" t="s">
        <v>501</v>
      </c>
      <c r="K259" s="98">
        <f>SUM(K252:K258)</f>
        <v>0</v>
      </c>
      <c r="L259" s="70"/>
    </row>
    <row r="260" spans="2:12">
      <c r="L260" s="70"/>
    </row>
    <row r="261" spans="2:12" ht="13">
      <c r="B261" s="222" t="s">
        <v>372</v>
      </c>
      <c r="C261" s="222"/>
      <c r="D261" s="222"/>
      <c r="E261" s="222"/>
      <c r="F261" s="222"/>
      <c r="G261" s="222"/>
      <c r="H261" s="222"/>
      <c r="I261" s="222"/>
      <c r="J261" s="222"/>
      <c r="K261" s="222"/>
      <c r="L261" s="222"/>
    </row>
    <row r="262" spans="2:12" ht="13">
      <c r="B262" s="266" t="s">
        <v>141</v>
      </c>
      <c r="C262" s="267" t="s">
        <v>142</v>
      </c>
      <c r="D262" s="267" t="s">
        <v>82</v>
      </c>
      <c r="E262" s="269" t="s">
        <v>152</v>
      </c>
      <c r="F262" s="269"/>
      <c r="G262" s="268" t="s">
        <v>81</v>
      </c>
      <c r="H262" s="268" t="s">
        <v>143</v>
      </c>
      <c r="I262" s="268" t="s">
        <v>144</v>
      </c>
      <c r="J262" s="268" t="s">
        <v>145</v>
      </c>
      <c r="K262" s="268" t="s">
        <v>146</v>
      </c>
      <c r="L262" s="92" t="s">
        <v>373</v>
      </c>
    </row>
    <row r="263" spans="2:12">
      <c r="B263" s="38" t="s">
        <v>374</v>
      </c>
      <c r="C263" s="67"/>
      <c r="D263" s="244" t="s">
        <v>318</v>
      </c>
      <c r="L263" s="73"/>
    </row>
    <row r="264" spans="2:12">
      <c r="B264" s="15" t="s">
        <v>331</v>
      </c>
      <c r="C264" s="66">
        <f>_xlfn.XLOOKUP(E265,Load_haul_dump_soil_ameliorants_from_off_site_names_UR,Load_haul_dump_growth_media_distance_avg)</f>
        <v>22.5</v>
      </c>
      <c r="D264" s="244" t="s">
        <v>155</v>
      </c>
      <c r="L264" s="73"/>
    </row>
    <row r="265" spans="2:12" ht="13">
      <c r="B265" s="15" t="s">
        <v>332</v>
      </c>
      <c r="C265" s="347">
        <f>C264*C263</f>
        <v>0</v>
      </c>
      <c r="D265" s="244" t="s">
        <v>169</v>
      </c>
      <c r="E265" s="77" t="s">
        <v>321</v>
      </c>
      <c r="G265" s="48">
        <f>_xlfn.XLOOKUP(E265,Load_haul_dump_soil_ameliorants_from_off_site_names_UR,Load_haul_dump_soil_ameliorants_from_off_site_rates_UR)</f>
        <v>0.26562499999999994</v>
      </c>
      <c r="H265" s="72"/>
      <c r="I265" s="49">
        <f>IF(H265="",G265,H265)</f>
        <v>0.26562499999999994</v>
      </c>
      <c r="J265" s="244" t="s">
        <v>169</v>
      </c>
      <c r="K265" s="46">
        <f>I265*C265</f>
        <v>0</v>
      </c>
      <c r="L265" s="73"/>
    </row>
    <row r="266" spans="2:12" ht="13">
      <c r="B266" s="57" t="s">
        <v>334</v>
      </c>
      <c r="C266" s="320">
        <f>C263</f>
        <v>0</v>
      </c>
      <c r="D266" s="244" t="s">
        <v>318</v>
      </c>
      <c r="E266" s="80" t="s">
        <v>881</v>
      </c>
      <c r="G266" s="48">
        <f>_xlfn.XLOOKUP(E266,Disposal_gate_fee_names,Disposal_gate_fee_rates)</f>
        <v>500</v>
      </c>
      <c r="H266" s="72"/>
      <c r="I266" s="49">
        <f>IF(H266="",G266,H266)</f>
        <v>500</v>
      </c>
      <c r="J266" s="244" t="s">
        <v>318</v>
      </c>
      <c r="K266" s="46">
        <f>I266*C266</f>
        <v>0</v>
      </c>
      <c r="L266" s="73"/>
    </row>
    <row r="267" spans="2:12" ht="13">
      <c r="B267" s="57" t="s">
        <v>336</v>
      </c>
      <c r="C267" s="320">
        <f>C263</f>
        <v>0</v>
      </c>
      <c r="D267" s="244" t="s">
        <v>318</v>
      </c>
      <c r="E267" s="77" t="s">
        <v>342</v>
      </c>
      <c r="G267" s="48">
        <f>_xlfn.XLOOKUP(E267,Waste_levy_names,Waste_levy_rates)</f>
        <v>85.5</v>
      </c>
      <c r="H267" s="72"/>
      <c r="I267" s="49">
        <f>IF(H267="",G267,H267)</f>
        <v>85.5</v>
      </c>
      <c r="J267" s="244" t="s">
        <v>318</v>
      </c>
      <c r="K267" s="46">
        <f>I267*C267</f>
        <v>0</v>
      </c>
      <c r="L267" s="70"/>
    </row>
    <row r="268" spans="2:12">
      <c r="C268" s="291"/>
      <c r="L268" s="73"/>
    </row>
    <row r="269" spans="2:12" ht="13">
      <c r="B269" s="256" t="str">
        <f>B$22</f>
        <v>Totals</v>
      </c>
      <c r="C269" s="306">
        <f>C263</f>
        <v>0</v>
      </c>
      <c r="D269" s="244" t="s">
        <v>318</v>
      </c>
      <c r="G269" s="263"/>
      <c r="H269" s="280" t="s">
        <v>375</v>
      </c>
      <c r="I269" s="40">
        <f>IF(C269=0,0,K269/C269)</f>
        <v>0</v>
      </c>
      <c r="J269" s="281" t="s">
        <v>366</v>
      </c>
      <c r="K269" s="98">
        <f>SUM(K262:K268)</f>
        <v>0</v>
      </c>
      <c r="L269" s="70"/>
    </row>
    <row r="270" spans="2:12">
      <c r="L270" s="70"/>
    </row>
    <row r="271" spans="2:12" ht="13">
      <c r="B271" s="222" t="s">
        <v>376</v>
      </c>
      <c r="C271" s="222"/>
      <c r="D271" s="222"/>
      <c r="E271" s="222"/>
      <c r="F271" s="222"/>
      <c r="G271" s="222"/>
      <c r="H271" s="222"/>
      <c r="I271" s="222"/>
      <c r="J271" s="222"/>
      <c r="K271" s="222"/>
      <c r="L271" s="222"/>
    </row>
    <row r="272" spans="2:12" s="263" customFormat="1" ht="23.5" customHeight="1">
      <c r="B272" s="272" t="s">
        <v>141</v>
      </c>
      <c r="C272" s="273" t="s">
        <v>142</v>
      </c>
      <c r="D272" s="273" t="s">
        <v>82</v>
      </c>
      <c r="E272" s="276" t="s">
        <v>152</v>
      </c>
      <c r="F272" s="276"/>
      <c r="G272" s="275" t="s">
        <v>81</v>
      </c>
      <c r="H272" s="275" t="s">
        <v>143</v>
      </c>
      <c r="I272" s="275" t="s">
        <v>144</v>
      </c>
      <c r="J272" s="275" t="s">
        <v>145</v>
      </c>
      <c r="K272" s="275" t="s">
        <v>146</v>
      </c>
      <c r="L272" s="70"/>
    </row>
    <row r="273" spans="2:12" s="263" customFormat="1" ht="13">
      <c r="B273" s="38" t="s">
        <v>377</v>
      </c>
      <c r="C273" s="69"/>
      <c r="D273" s="263" t="s">
        <v>380</v>
      </c>
      <c r="E273" s="77" t="s">
        <v>568</v>
      </c>
      <c r="G273" s="39">
        <f>_xlfn.XLOOKUP(E273,'Cost Schedule'!B375:B379,'Cost Schedule'!C375:C379)</f>
        <v>62000</v>
      </c>
      <c r="H273" s="72"/>
      <c r="I273" s="40">
        <f t="shared" ref="I273:I274" si="23">IF(H273="",G273,H273)</f>
        <v>62000</v>
      </c>
      <c r="J273" s="263" t="s">
        <v>380</v>
      </c>
      <c r="K273" s="46">
        <f>I273*C273</f>
        <v>0</v>
      </c>
      <c r="L273" s="73"/>
    </row>
    <row r="274" spans="2:12" s="263" customFormat="1" ht="13">
      <c r="B274" s="38" t="s">
        <v>381</v>
      </c>
      <c r="C274" s="69"/>
      <c r="D274" s="263" t="s">
        <v>380</v>
      </c>
      <c r="E274" s="77" t="s">
        <v>1368</v>
      </c>
      <c r="G274" s="39">
        <f>_xlfn.XLOOKUP(E274,Mobe_names_electrical_CS,Mobe_rates_electrical_CS)</f>
        <v>161000</v>
      </c>
      <c r="H274" s="72"/>
      <c r="I274" s="40">
        <f t="shared" si="23"/>
        <v>161000</v>
      </c>
      <c r="J274" s="263" t="s">
        <v>380</v>
      </c>
      <c r="K274" s="46">
        <f t="shared" ref="K274:K275" si="24">I274*C274</f>
        <v>0</v>
      </c>
      <c r="L274" s="73"/>
    </row>
    <row r="275" spans="2:12" s="263" customFormat="1" ht="13">
      <c r="B275" s="38" t="s">
        <v>383</v>
      </c>
      <c r="C275" s="69"/>
      <c r="D275" s="263" t="s">
        <v>380</v>
      </c>
      <c r="E275" s="77" t="s">
        <v>1369</v>
      </c>
      <c r="G275" s="39">
        <f>_xlfn.XLOOKUP(E275,Mobe_names_land_CS,Mobe_rates_land_CS)</f>
        <v>211000</v>
      </c>
      <c r="H275" s="72"/>
      <c r="I275" s="40">
        <f>IF(H275="",G275,H275)</f>
        <v>211000</v>
      </c>
      <c r="J275" s="263" t="s">
        <v>380</v>
      </c>
      <c r="K275" s="46">
        <f t="shared" si="24"/>
        <v>0</v>
      </c>
      <c r="L275" s="73"/>
    </row>
    <row r="276" spans="2:12" s="263" customFormat="1">
      <c r="C276" s="348"/>
      <c r="K276" s="244"/>
      <c r="L276" s="73"/>
    </row>
    <row r="277" spans="2:12" s="263" customFormat="1" ht="13">
      <c r="B277" s="256" t="str">
        <f>B$22</f>
        <v>Totals</v>
      </c>
      <c r="C277" s="347">
        <f>SUM(C273:C275)</f>
        <v>0</v>
      </c>
      <c r="D277" s="263" t="s">
        <v>378</v>
      </c>
      <c r="I277" s="40">
        <f>IF(C277=0,0,K277/C277)</f>
        <v>0</v>
      </c>
      <c r="J277" s="281" t="s">
        <v>386</v>
      </c>
      <c r="K277" s="36">
        <f>SUM(K272:K276)</f>
        <v>0</v>
      </c>
      <c r="L277" s="70"/>
    </row>
    <row r="278" spans="2:12" s="263" customFormat="1">
      <c r="L278" s="70"/>
    </row>
    <row r="279" spans="2:12" ht="13">
      <c r="B279" s="222" t="s">
        <v>387</v>
      </c>
      <c r="C279" s="222"/>
      <c r="D279" s="222"/>
      <c r="E279" s="222"/>
      <c r="F279" s="222"/>
      <c r="G279" s="222"/>
      <c r="H279" s="222"/>
      <c r="I279" s="222"/>
      <c r="J279" s="222"/>
      <c r="K279" s="222"/>
      <c r="L279" s="222"/>
    </row>
    <row r="280" spans="2:12" ht="13">
      <c r="B280" s="266" t="s">
        <v>141</v>
      </c>
      <c r="C280" s="267" t="s">
        <v>142</v>
      </c>
      <c r="D280" s="267" t="s">
        <v>82</v>
      </c>
      <c r="E280" s="269"/>
      <c r="F280" s="269"/>
      <c r="G280" s="268" t="s">
        <v>81</v>
      </c>
      <c r="H280" s="268" t="s">
        <v>143</v>
      </c>
      <c r="I280" s="268" t="s">
        <v>144</v>
      </c>
      <c r="J280" s="268" t="s">
        <v>145</v>
      </c>
      <c r="K280" s="268" t="s">
        <v>146</v>
      </c>
      <c r="L280" s="70"/>
    </row>
    <row r="281" spans="2:12" ht="13">
      <c r="B281" s="38" t="s">
        <v>390</v>
      </c>
      <c r="C281" s="69"/>
      <c r="D281" s="244" t="s">
        <v>391</v>
      </c>
      <c r="H281" s="72"/>
      <c r="I281" s="40">
        <f t="shared" ref="I281:I283" si="25">IF(H281="",G281,H281)</f>
        <v>0</v>
      </c>
      <c r="J281" s="263" t="s">
        <v>391</v>
      </c>
      <c r="K281" s="46">
        <f>I281*C281</f>
        <v>0</v>
      </c>
      <c r="L281" s="73"/>
    </row>
    <row r="282" spans="2:12" ht="13">
      <c r="B282" s="38" t="s">
        <v>392</v>
      </c>
      <c r="C282" s="69"/>
      <c r="D282" s="244" t="s">
        <v>391</v>
      </c>
      <c r="H282" s="72"/>
      <c r="I282" s="40">
        <f t="shared" si="25"/>
        <v>0</v>
      </c>
      <c r="J282" s="263" t="s">
        <v>391</v>
      </c>
      <c r="K282" s="46">
        <f t="shared" ref="K282:K283" si="26">I282*C282</f>
        <v>0</v>
      </c>
      <c r="L282" s="70"/>
    </row>
    <row r="283" spans="2:12" ht="13">
      <c r="B283" s="81" t="s">
        <v>348</v>
      </c>
      <c r="C283" s="69"/>
      <c r="D283" s="244" t="s">
        <v>391</v>
      </c>
      <c r="G283" s="48"/>
      <c r="H283" s="72"/>
      <c r="I283" s="49">
        <f t="shared" si="25"/>
        <v>0</v>
      </c>
      <c r="J283" s="263" t="s">
        <v>391</v>
      </c>
      <c r="K283" s="46">
        <f t="shared" si="26"/>
        <v>0</v>
      </c>
      <c r="L283" s="73"/>
    </row>
    <row r="284" spans="2:12" ht="13">
      <c r="B284" s="81" t="s">
        <v>348</v>
      </c>
      <c r="C284" s="69"/>
      <c r="D284" s="244" t="s">
        <v>391</v>
      </c>
      <c r="G284" s="48"/>
      <c r="H284" s="72"/>
      <c r="I284" s="49">
        <f>IF(H284="",G284,H284)</f>
        <v>0</v>
      </c>
      <c r="J284" s="263" t="s">
        <v>391</v>
      </c>
      <c r="K284" s="46">
        <f>I284*C284</f>
        <v>0</v>
      </c>
      <c r="L284" s="70"/>
    </row>
    <row r="285" spans="2:12" ht="13">
      <c r="B285" s="81" t="s">
        <v>348</v>
      </c>
      <c r="C285" s="69"/>
      <c r="D285" s="244" t="s">
        <v>391</v>
      </c>
      <c r="G285" s="48"/>
      <c r="H285" s="72"/>
      <c r="I285" s="49">
        <f>IF(H285="",G285,H285)</f>
        <v>0</v>
      </c>
      <c r="J285" s="263" t="s">
        <v>391</v>
      </c>
      <c r="K285" s="46">
        <f>I285*C285</f>
        <v>0</v>
      </c>
      <c r="L285" s="73"/>
    </row>
    <row r="286" spans="2:12">
      <c r="C286" s="338"/>
      <c r="L286" s="73"/>
    </row>
    <row r="287" spans="2:12" ht="13">
      <c r="B287" s="256" t="str">
        <f>B$22</f>
        <v>Totals</v>
      </c>
      <c r="C287" s="347">
        <f>SUM(C280:C286)</f>
        <v>0</v>
      </c>
      <c r="D287" s="244" t="s">
        <v>388</v>
      </c>
      <c r="G287" s="263"/>
      <c r="H287" s="280" t="s">
        <v>393</v>
      </c>
      <c r="I287" s="40">
        <f>IF(C287=0,0,K287/C287)</f>
        <v>0</v>
      </c>
      <c r="J287" s="281" t="s">
        <v>394</v>
      </c>
      <c r="K287" s="98">
        <f>SUM(K280:K286)</f>
        <v>0</v>
      </c>
      <c r="L287" s="70"/>
    </row>
    <row r="288" spans="2:12">
      <c r="C288" s="349"/>
      <c r="L288" s="70"/>
    </row>
    <row r="289" spans="2:12" ht="13">
      <c r="B289" s="222" t="s">
        <v>395</v>
      </c>
      <c r="C289" s="222"/>
      <c r="D289" s="222"/>
      <c r="E289" s="222"/>
      <c r="F289" s="222"/>
      <c r="G289" s="222"/>
      <c r="H289" s="222"/>
      <c r="I289" s="222"/>
      <c r="J289" s="222"/>
      <c r="K289" s="222"/>
      <c r="L289" s="222"/>
    </row>
    <row r="290" spans="2:12" ht="13">
      <c r="B290" s="266" t="s">
        <v>141</v>
      </c>
      <c r="C290" s="267" t="s">
        <v>142</v>
      </c>
      <c r="D290" s="267" t="s">
        <v>82</v>
      </c>
      <c r="E290" s="269" t="s">
        <v>132</v>
      </c>
      <c r="F290" s="269"/>
      <c r="G290" s="268"/>
      <c r="H290" s="268" t="s">
        <v>143</v>
      </c>
      <c r="I290" s="268" t="s">
        <v>144</v>
      </c>
      <c r="J290" s="268" t="s">
        <v>145</v>
      </c>
      <c r="K290" s="268" t="s">
        <v>146</v>
      </c>
      <c r="L290" s="70"/>
    </row>
    <row r="291" spans="2:12" ht="13">
      <c r="B291" s="81" t="s">
        <v>396</v>
      </c>
      <c r="C291" s="67"/>
      <c r="D291" s="83"/>
      <c r="E291" s="70"/>
      <c r="H291" s="215"/>
      <c r="I291" s="49">
        <f t="shared" ref="I291:I293" si="27">IF(H291="",G291,H291)</f>
        <v>0</v>
      </c>
      <c r="J291" s="313">
        <f>D291</f>
        <v>0</v>
      </c>
      <c r="K291" s="46">
        <f t="shared" ref="K291:K296" si="28">I291*C291</f>
        <v>0</v>
      </c>
      <c r="L291" s="73"/>
    </row>
    <row r="292" spans="2:12" ht="13">
      <c r="B292" s="81" t="s">
        <v>396</v>
      </c>
      <c r="C292" s="67"/>
      <c r="D292" s="83"/>
      <c r="E292" s="70"/>
      <c r="H292" s="215"/>
      <c r="I292" s="49">
        <f t="shared" si="27"/>
        <v>0</v>
      </c>
      <c r="J292" s="313">
        <f t="shared" ref="J292:J296" si="29">D292</f>
        <v>0</v>
      </c>
      <c r="K292" s="46">
        <f t="shared" si="28"/>
        <v>0</v>
      </c>
      <c r="L292" s="70"/>
    </row>
    <row r="293" spans="2:12" ht="13">
      <c r="B293" s="81" t="s">
        <v>396</v>
      </c>
      <c r="C293" s="67"/>
      <c r="D293" s="83"/>
      <c r="E293" s="70"/>
      <c r="H293" s="215"/>
      <c r="I293" s="49">
        <f t="shared" si="27"/>
        <v>0</v>
      </c>
      <c r="J293" s="313">
        <f t="shared" si="29"/>
        <v>0</v>
      </c>
      <c r="K293" s="46">
        <f t="shared" si="28"/>
        <v>0</v>
      </c>
      <c r="L293" s="73"/>
    </row>
    <row r="294" spans="2:12" ht="13">
      <c r="B294" s="81" t="s">
        <v>396</v>
      </c>
      <c r="C294" s="67"/>
      <c r="D294" s="83"/>
      <c r="E294" s="70"/>
      <c r="H294" s="215"/>
      <c r="I294" s="49">
        <f>IF(H294="",G294,H294)</f>
        <v>0</v>
      </c>
      <c r="J294" s="313">
        <f t="shared" si="29"/>
        <v>0</v>
      </c>
      <c r="K294" s="46">
        <f t="shared" si="28"/>
        <v>0</v>
      </c>
      <c r="L294" s="70"/>
    </row>
    <row r="295" spans="2:12" ht="13">
      <c r="B295" s="81" t="s">
        <v>396</v>
      </c>
      <c r="C295" s="67"/>
      <c r="D295" s="83"/>
      <c r="E295" s="70"/>
      <c r="H295" s="215"/>
      <c r="I295" s="49">
        <f>IF(H295="",G295,H295)</f>
        <v>0</v>
      </c>
      <c r="J295" s="313">
        <f t="shared" si="29"/>
        <v>0</v>
      </c>
      <c r="K295" s="46">
        <f t="shared" si="28"/>
        <v>0</v>
      </c>
      <c r="L295" s="73"/>
    </row>
    <row r="296" spans="2:12" ht="13">
      <c r="B296" s="81" t="s">
        <v>396</v>
      </c>
      <c r="C296" s="67"/>
      <c r="D296" s="83"/>
      <c r="E296" s="70"/>
      <c r="H296" s="215"/>
      <c r="I296" s="49">
        <f>IF(H296="",G296,H296)</f>
        <v>0</v>
      </c>
      <c r="J296" s="313">
        <f t="shared" si="29"/>
        <v>0</v>
      </c>
      <c r="K296" s="46">
        <f t="shared" si="28"/>
        <v>0</v>
      </c>
      <c r="L296" s="70"/>
    </row>
    <row r="297" spans="2:12">
      <c r="C297" s="291"/>
      <c r="L297" s="73"/>
    </row>
    <row r="298" spans="2:12" ht="13">
      <c r="B298" s="256" t="str">
        <f>B$22</f>
        <v>Totals</v>
      </c>
      <c r="C298" s="306">
        <f>SUM(C290:C297)</f>
        <v>0</v>
      </c>
      <c r="D298" s="313" t="s">
        <v>388</v>
      </c>
      <c r="G298" s="263"/>
      <c r="H298" s="280" t="s">
        <v>397</v>
      </c>
      <c r="I298" s="49">
        <f>IF(C298=0,0,K298/C298)</f>
        <v>0</v>
      </c>
      <c r="J298" s="314" t="s">
        <v>398</v>
      </c>
      <c r="K298" s="98">
        <f>SUM(K290:K297)</f>
        <v>0</v>
      </c>
      <c r="L298" s="70"/>
    </row>
    <row r="299" spans="2:12">
      <c r="L299" s="70"/>
    </row>
    <row r="300" spans="2:12" ht="13">
      <c r="B300" s="222" t="s">
        <v>399</v>
      </c>
      <c r="C300" s="222"/>
      <c r="D300" s="222"/>
      <c r="E300" s="222"/>
      <c r="F300" s="222"/>
      <c r="G300" s="222"/>
      <c r="H300" s="222"/>
      <c r="I300" s="222"/>
      <c r="J300" s="222"/>
      <c r="K300" s="222"/>
      <c r="L300" s="222"/>
    </row>
    <row r="301" spans="2:12" s="263" customFormat="1" ht="21.65" customHeight="1">
      <c r="B301" s="303" t="s">
        <v>141</v>
      </c>
      <c r="C301" s="303" t="s">
        <v>142</v>
      </c>
      <c r="D301" s="303" t="s">
        <v>82</v>
      </c>
      <c r="E301" s="269"/>
      <c r="F301" s="350" t="s">
        <v>402</v>
      </c>
      <c r="G301" s="304" t="s">
        <v>81</v>
      </c>
      <c r="H301" s="304" t="s">
        <v>143</v>
      </c>
      <c r="I301" s="304" t="s">
        <v>144</v>
      </c>
      <c r="J301" s="304" t="s">
        <v>145</v>
      </c>
      <c r="K301" s="304" t="s">
        <v>146</v>
      </c>
      <c r="L301" s="70"/>
    </row>
    <row r="302" spans="2:12" s="263" customFormat="1" ht="13">
      <c r="B302" s="38" t="s">
        <v>403</v>
      </c>
      <c r="C302" s="59">
        <v>0.1</v>
      </c>
      <c r="D302" s="107"/>
      <c r="E302" s="307" t="s">
        <v>404</v>
      </c>
      <c r="F302" s="316">
        <f>SUM(K22,K40,K46,K63,K52,K73,K87,K110,K124,K131,K141,K151,K171,K188,K201,K210,K220,K238,K249,K259,K269,K277,K287,K298)</f>
        <v>0</v>
      </c>
      <c r="G302" s="39">
        <f>F$302*IF(D302="",C302,D302)</f>
        <v>0</v>
      </c>
      <c r="H302" s="72"/>
      <c r="I302" s="40">
        <f>IF(H302="",G302,H302)</f>
        <v>0</v>
      </c>
      <c r="K302" s="46">
        <f>I302</f>
        <v>0</v>
      </c>
      <c r="L302" s="73"/>
    </row>
    <row r="303" spans="2:12" s="263" customFormat="1" ht="13">
      <c r="B303" s="38" t="s">
        <v>405</v>
      </c>
      <c r="C303" s="59">
        <v>0.05</v>
      </c>
      <c r="D303" s="107"/>
      <c r="E303" s="307" t="s">
        <v>404</v>
      </c>
      <c r="G303" s="39">
        <f t="shared" ref="G303:G304" si="30">F$302*IF(D303="",C303,D303)</f>
        <v>0</v>
      </c>
      <c r="H303" s="72"/>
      <c r="I303" s="40">
        <f t="shared" ref="I303:I304" si="31">IF(H303="",G303,H303)</f>
        <v>0</v>
      </c>
      <c r="K303" s="46">
        <f t="shared" ref="K303:K304" si="32">I303</f>
        <v>0</v>
      </c>
      <c r="L303" s="70"/>
    </row>
    <row r="304" spans="2:12" s="263" customFormat="1" ht="13">
      <c r="B304" s="60" t="s">
        <v>406</v>
      </c>
      <c r="C304" s="59">
        <v>0.1</v>
      </c>
      <c r="D304" s="107"/>
      <c r="E304" s="307" t="s">
        <v>404</v>
      </c>
      <c r="G304" s="39">
        <f t="shared" si="30"/>
        <v>0</v>
      </c>
      <c r="H304" s="72"/>
      <c r="I304" s="40">
        <f t="shared" si="31"/>
        <v>0</v>
      </c>
      <c r="K304" s="46">
        <f t="shared" si="32"/>
        <v>0</v>
      </c>
      <c r="L304" s="73"/>
    </row>
    <row r="305" spans="2:12">
      <c r="L305" s="73"/>
    </row>
    <row r="306" spans="2:12" s="263" customFormat="1" ht="13">
      <c r="J306" s="281" t="s">
        <v>398</v>
      </c>
      <c r="K306" s="36">
        <f>SUM(K301:K305)</f>
        <v>0</v>
      </c>
      <c r="L306" s="73"/>
    </row>
    <row r="307" spans="2:12" s="263" customFormat="1">
      <c r="C307" s="244"/>
      <c r="J307" s="244"/>
      <c r="L307" s="73"/>
    </row>
    <row r="308" spans="2:12" ht="13">
      <c r="B308" s="222" t="s">
        <v>98</v>
      </c>
      <c r="C308" s="222"/>
      <c r="D308" s="222"/>
      <c r="E308" s="222"/>
      <c r="F308" s="222"/>
      <c r="G308" s="222"/>
      <c r="H308" s="222"/>
      <c r="I308" s="222"/>
      <c r="J308" s="222"/>
      <c r="K308" s="222"/>
      <c r="L308" s="222"/>
    </row>
    <row r="309" spans="2:12" ht="13">
      <c r="B309" s="266" t="s">
        <v>114</v>
      </c>
      <c r="C309" s="267" t="s">
        <v>407</v>
      </c>
      <c r="D309" s="267" t="s">
        <v>415</v>
      </c>
      <c r="E309" s="269" t="s">
        <v>409</v>
      </c>
      <c r="F309" s="269"/>
      <c r="G309" s="268" t="s">
        <v>81</v>
      </c>
      <c r="H309" s="268" t="s">
        <v>143</v>
      </c>
      <c r="I309" s="268" t="s">
        <v>144</v>
      </c>
      <c r="J309" s="268" t="s">
        <v>145</v>
      </c>
      <c r="K309" s="268" t="s">
        <v>146</v>
      </c>
      <c r="L309" s="73"/>
    </row>
    <row r="310" spans="2:12" ht="13">
      <c r="B310" s="15" t="s">
        <v>410</v>
      </c>
      <c r="D310" s="317"/>
      <c r="E310" s="343" t="str">
        <f>C$14</f>
        <v>Select make and model</v>
      </c>
      <c r="F310" s="269"/>
      <c r="L310" s="73"/>
    </row>
    <row r="311" spans="2:12" ht="13">
      <c r="B311" s="38" t="s">
        <v>416</v>
      </c>
      <c r="C311" s="61">
        <f>SUM(C312:C320)</f>
        <v>0</v>
      </c>
      <c r="D311" s="106">
        <f>_xlfn.XLOOKUP(E$310,BESS_models,BESS_mass)*$C$15</f>
        <v>0</v>
      </c>
      <c r="F311" s="269"/>
      <c r="L311" s="73"/>
    </row>
    <row r="312" spans="2:12" ht="13">
      <c r="B312" s="38" t="str" cm="1">
        <f t="array" ref="B312:B320">Batteries!B8:B16</f>
        <v>Steel (carbon/stainless)</v>
      </c>
      <c r="C312" s="61">
        <f>_xlfn.XLOOKUP(E$310,BESS_models,BESS_steel)</f>
        <v>0</v>
      </c>
      <c r="D312" s="320">
        <f>C312*D$311</f>
        <v>0</v>
      </c>
      <c r="E312" s="70"/>
      <c r="G312" s="209">
        <f>Scrap_stainless_steel_rate*kilograms_in_tonnes</f>
        <v>2000</v>
      </c>
      <c r="H312" s="72"/>
      <c r="I312" s="49">
        <f>IF(H312="",G312,H312)</f>
        <v>2000</v>
      </c>
      <c r="J312" s="244" t="s">
        <v>318</v>
      </c>
      <c r="K312" s="46">
        <f>D312*I312</f>
        <v>0</v>
      </c>
      <c r="L312" s="73"/>
    </row>
    <row r="313" spans="2:12" ht="13">
      <c r="B313" s="38" t="str">
        <v>Copper</v>
      </c>
      <c r="C313" s="61">
        <f>_xlfn.XLOOKUP(E$310,BESS_models,BESS_copper)</f>
        <v>0</v>
      </c>
      <c r="D313" s="320">
        <f t="shared" ref="D313:D320" si="33">C313*D$311</f>
        <v>0</v>
      </c>
      <c r="E313" s="70"/>
      <c r="G313" s="209">
        <f>Scrap_copper_and_alloy_rate*kilograms_in_tonnes</f>
        <v>5000</v>
      </c>
      <c r="H313" s="72"/>
      <c r="I313" s="49">
        <f t="shared" ref="I313:I320" si="34">IF(H313="",G313,H313)</f>
        <v>5000</v>
      </c>
      <c r="J313" s="244" t="s">
        <v>318</v>
      </c>
      <c r="K313" s="46">
        <f>D313*I313</f>
        <v>0</v>
      </c>
      <c r="L313" s="73"/>
    </row>
    <row r="314" spans="2:12" ht="13">
      <c r="B314" s="38" t="str">
        <v>Aluminium</v>
      </c>
      <c r="C314" s="61">
        <f>_xlfn.XLOOKUP(E$310,BESS_models,BESS_aluminium)</f>
        <v>0</v>
      </c>
      <c r="D314" s="320">
        <f t="shared" si="33"/>
        <v>0</v>
      </c>
      <c r="E314" s="70"/>
      <c r="G314" s="209">
        <f>Scrap_aluminium_and_alloy_rate*kilograms_in_tonnes</f>
        <v>2500</v>
      </c>
      <c r="H314" s="72"/>
      <c r="I314" s="49">
        <f t="shared" si="34"/>
        <v>2500</v>
      </c>
      <c r="J314" s="244" t="s">
        <v>318</v>
      </c>
      <c r="K314" s="46">
        <f>D314*I314</f>
        <v>0</v>
      </c>
      <c r="L314" s="73"/>
    </row>
    <row r="315" spans="2:12" ht="13">
      <c r="B315" s="38" t="str">
        <v>Lithium-iron-phosphate cells</v>
      </c>
      <c r="C315" s="61">
        <f>_xlfn.XLOOKUP(E$310,BESS_models,BESS_LiFePO4_cells)</f>
        <v>0</v>
      </c>
      <c r="D315" s="320">
        <f t="shared" si="33"/>
        <v>0</v>
      </c>
      <c r="E315" s="70"/>
      <c r="G315" s="48">
        <v>0</v>
      </c>
      <c r="H315" s="72"/>
      <c r="I315" s="49">
        <f t="shared" si="34"/>
        <v>0</v>
      </c>
      <c r="J315" s="244" t="s">
        <v>318</v>
      </c>
      <c r="K315" s="46">
        <f>D315*I315</f>
        <v>0</v>
      </c>
      <c r="L315" s="73"/>
    </row>
    <row r="316" spans="2:12" ht="13">
      <c r="B316" s="38" t="str">
        <v>Electronics</v>
      </c>
      <c r="C316" s="61">
        <f>_xlfn.XLOOKUP(E$310,BESS_models,BESS_electronics)</f>
        <v>0</v>
      </c>
      <c r="D316" s="320">
        <f t="shared" si="33"/>
        <v>0</v>
      </c>
      <c r="E316" s="70"/>
      <c r="G316" s="86">
        <v>0</v>
      </c>
      <c r="H316" s="72"/>
      <c r="I316" s="49">
        <f t="shared" si="34"/>
        <v>0</v>
      </c>
      <c r="J316" s="244" t="s">
        <v>318</v>
      </c>
      <c r="K316" s="46">
        <f>D316*I316</f>
        <v>0</v>
      </c>
      <c r="L316" s="73"/>
    </row>
    <row r="317" spans="2:12" ht="13">
      <c r="B317" s="38" t="str">
        <v>Plastics/polymers</v>
      </c>
      <c r="C317" s="61">
        <f>_xlfn.XLOOKUP(E$310,BESS_models,BESS_plastics)</f>
        <v>0</v>
      </c>
      <c r="D317" s="320">
        <f t="shared" si="33"/>
        <v>0</v>
      </c>
      <c r="E317" s="70"/>
      <c r="G317" s="86">
        <v>0</v>
      </c>
      <c r="H317" s="72"/>
      <c r="I317" s="49">
        <f t="shared" si="34"/>
        <v>0</v>
      </c>
      <c r="J317" s="244" t="s">
        <v>318</v>
      </c>
      <c r="K317" s="46">
        <f t="shared" ref="K317:K320" si="35">D317*I317</f>
        <v>0</v>
      </c>
      <c r="L317" s="73"/>
    </row>
    <row r="318" spans="2:12" ht="13">
      <c r="B318" s="38" t="str">
        <v>Cooling fluids/misc. liquids</v>
      </c>
      <c r="C318" s="61">
        <f>_xlfn.XLOOKUP(E$310,BESS_models,BESS_fluids)</f>
        <v>0</v>
      </c>
      <c r="D318" s="320">
        <f t="shared" si="33"/>
        <v>0</v>
      </c>
      <c r="E318" s="70"/>
      <c r="G318" s="86">
        <v>0</v>
      </c>
      <c r="H318" s="72"/>
      <c r="I318" s="49">
        <f t="shared" si="34"/>
        <v>0</v>
      </c>
      <c r="J318" s="244" t="s">
        <v>318</v>
      </c>
      <c r="K318" s="46">
        <f t="shared" si="35"/>
        <v>0</v>
      </c>
      <c r="L318" s="73"/>
    </row>
    <row r="319" spans="2:12" ht="13">
      <c r="B319" s="38" t="str">
        <v>Glass/ceramics/insulation</v>
      </c>
      <c r="C319" s="61">
        <f>_xlfn.XLOOKUP(E$310,BESS_models,BESS_glass_etc)</f>
        <v>0</v>
      </c>
      <c r="D319" s="320">
        <f t="shared" si="33"/>
        <v>0</v>
      </c>
      <c r="E319" s="70"/>
      <c r="G319" s="86">
        <v>0</v>
      </c>
      <c r="H319" s="72"/>
      <c r="I319" s="49">
        <f t="shared" si="34"/>
        <v>0</v>
      </c>
      <c r="J319" s="244" t="s">
        <v>318</v>
      </c>
      <c r="K319" s="46">
        <f t="shared" si="35"/>
        <v>0</v>
      </c>
      <c r="L319" s="73"/>
    </row>
    <row r="320" spans="2:12" ht="13">
      <c r="B320" s="38" t="str">
        <v>Other (paint, gaskets, fasteners)</v>
      </c>
      <c r="C320" s="61">
        <f>_xlfn.XLOOKUP(E$310,BESS_models,BESS_other)</f>
        <v>0</v>
      </c>
      <c r="D320" s="320">
        <f t="shared" si="33"/>
        <v>0</v>
      </c>
      <c r="E320" s="70"/>
      <c r="G320" s="86">
        <v>0</v>
      </c>
      <c r="H320" s="72"/>
      <c r="I320" s="49">
        <f t="shared" si="34"/>
        <v>0</v>
      </c>
      <c r="J320" s="244" t="s">
        <v>318</v>
      </c>
      <c r="K320" s="46">
        <f t="shared" si="35"/>
        <v>0</v>
      </c>
      <c r="L320" s="73"/>
    </row>
    <row r="321" spans="2:12">
      <c r="L321" s="73"/>
    </row>
    <row r="322" spans="2:12" ht="13">
      <c r="H322" s="270" t="s">
        <v>412</v>
      </c>
      <c r="I322" s="49">
        <f>IF(C15=0,0,K322/C15)</f>
        <v>0</v>
      </c>
      <c r="J322" s="271" t="s">
        <v>549</v>
      </c>
      <c r="K322" s="98">
        <f>SUM(K309:K321)</f>
        <v>0</v>
      </c>
      <c r="L322" s="73"/>
    </row>
    <row r="323" spans="2:12">
      <c r="L323" s="73"/>
    </row>
    <row r="324" spans="2:12" ht="13">
      <c r="B324" s="266" t="s">
        <v>115</v>
      </c>
      <c r="C324" s="268" t="s">
        <v>418</v>
      </c>
      <c r="D324" s="267" t="s">
        <v>415</v>
      </c>
      <c r="E324" s="269" t="s">
        <v>132</v>
      </c>
      <c r="F324" s="269" t="s">
        <v>152</v>
      </c>
      <c r="G324" s="268" t="s">
        <v>81</v>
      </c>
      <c r="H324" s="268" t="s">
        <v>143</v>
      </c>
      <c r="I324" s="268" t="s">
        <v>144</v>
      </c>
      <c r="J324" s="268" t="s">
        <v>145</v>
      </c>
      <c r="K324" s="268" t="s">
        <v>146</v>
      </c>
      <c r="L324" s="73"/>
    </row>
    <row r="325" spans="2:12" ht="13">
      <c r="B325" s="65" t="str">
        <f t="shared" ref="B325:B333" si="36">E26</f>
        <v>DC Cables - string - 4mm2</v>
      </c>
      <c r="C325" s="66">
        <f t="shared" ref="C325:C333" si="37">C26</f>
        <v>0</v>
      </c>
      <c r="D325" s="320">
        <f>C325*_xlfn.XLOOKUP(B325,Electrical_cables_names_Ass,Assumptions!$E$35:$E$85)</f>
        <v>0</v>
      </c>
      <c r="E325" s="70"/>
      <c r="F325" s="77" t="s">
        <v>419</v>
      </c>
      <c r="G325" s="39">
        <f t="shared" ref="G325:G337" si="38">IF(F325=Aluminium,Scrap_aluminium_and_alloy_rate,Scrap_copper_and_alloy_rate)*kilograms_in_tonnes</f>
        <v>5000</v>
      </c>
      <c r="H325" s="72"/>
      <c r="I325" s="49">
        <f t="shared" ref="I325:I337" si="39">IF(H325="",G325,H325)</f>
        <v>5000</v>
      </c>
      <c r="K325" s="46">
        <f>D325*I325</f>
        <v>0</v>
      </c>
      <c r="L325" s="73"/>
    </row>
    <row r="326" spans="2:12" ht="13">
      <c r="B326" s="65" t="str">
        <f t="shared" si="36"/>
        <v>DC Cables - string - 6mm2</v>
      </c>
      <c r="C326" s="66">
        <f t="shared" si="37"/>
        <v>0</v>
      </c>
      <c r="D326" s="320">
        <f>C326*_xlfn.XLOOKUP(B326,Electrical_cables_names_Ass,Assumptions!$E$35:$E$85)</f>
        <v>0</v>
      </c>
      <c r="E326" s="70"/>
      <c r="F326" s="77" t="s">
        <v>419</v>
      </c>
      <c r="G326" s="39">
        <f t="shared" si="38"/>
        <v>5000</v>
      </c>
      <c r="H326" s="72"/>
      <c r="I326" s="49">
        <f t="shared" si="39"/>
        <v>5000</v>
      </c>
      <c r="K326" s="46">
        <f t="shared" ref="K326:K327" si="40">D326*I326</f>
        <v>0</v>
      </c>
      <c r="L326" s="73"/>
    </row>
    <row r="327" spans="2:12" ht="13">
      <c r="B327" s="65" t="str">
        <f t="shared" si="36"/>
        <v>DC Cables - feeder - single core 35mm2 above ground</v>
      </c>
      <c r="C327" s="66">
        <f t="shared" si="37"/>
        <v>0</v>
      </c>
      <c r="D327" s="320">
        <f>C327*_xlfn.XLOOKUP(B327,Electrical_cables_names_Ass,Assumptions!$E$35:$E$85)</f>
        <v>0</v>
      </c>
      <c r="E327" s="70"/>
      <c r="F327" s="77" t="s">
        <v>419</v>
      </c>
      <c r="G327" s="39">
        <f t="shared" si="38"/>
        <v>5000</v>
      </c>
      <c r="H327" s="72"/>
      <c r="I327" s="49">
        <f t="shared" si="39"/>
        <v>5000</v>
      </c>
      <c r="K327" s="46">
        <f t="shared" si="40"/>
        <v>0</v>
      </c>
      <c r="L327" s="73"/>
    </row>
    <row r="328" spans="2:12" ht="13">
      <c r="B328" s="65" t="str">
        <f t="shared" si="36"/>
        <v>DC Cables - feeder - single core 35mm2 above ground</v>
      </c>
      <c r="C328" s="66">
        <f t="shared" si="37"/>
        <v>0</v>
      </c>
      <c r="D328" s="320">
        <f>C328*_xlfn.XLOOKUP(B328,Electrical_cables_names_Ass,Assumptions!$E$35:$E$85)</f>
        <v>0</v>
      </c>
      <c r="E328" s="70"/>
      <c r="F328" s="77" t="s">
        <v>419</v>
      </c>
      <c r="G328" s="39">
        <f t="shared" ref="G328:G334" si="41">IF(F328=Aluminium,Scrap_aluminium_and_alloy_rate,Scrap_copper_and_alloy_rate)*kilograms_in_tonnes</f>
        <v>5000</v>
      </c>
      <c r="H328" s="72"/>
      <c r="I328" s="49">
        <f t="shared" ref="I328:I334" si="42">IF(H328="",G328,H328)</f>
        <v>5000</v>
      </c>
      <c r="K328" s="46">
        <f t="shared" ref="K328:K334" si="43">D328*I328</f>
        <v>0</v>
      </c>
      <c r="L328" s="73"/>
    </row>
    <row r="329" spans="2:12" ht="13">
      <c r="B329" s="65" t="str">
        <f t="shared" si="36"/>
        <v>DC Cables - feeder - single core 185mm2 above ground</v>
      </c>
      <c r="C329" s="66">
        <f t="shared" si="37"/>
        <v>0</v>
      </c>
      <c r="D329" s="320">
        <f>C329*_xlfn.XLOOKUP(B329,Electrical_cables_names_Ass,Assumptions!$E$35:$E$85)</f>
        <v>0</v>
      </c>
      <c r="E329" s="70"/>
      <c r="F329" s="77" t="s">
        <v>419</v>
      </c>
      <c r="G329" s="39">
        <f t="shared" si="41"/>
        <v>5000</v>
      </c>
      <c r="H329" s="72"/>
      <c r="I329" s="49">
        <f t="shared" si="42"/>
        <v>5000</v>
      </c>
      <c r="K329" s="46">
        <f t="shared" si="43"/>
        <v>0</v>
      </c>
      <c r="L329" s="73"/>
    </row>
    <row r="330" spans="2:12" ht="13">
      <c r="B330" s="65" t="str">
        <f t="shared" si="36"/>
        <v>DC Cables - feeder - single core 630mm3 above ground</v>
      </c>
      <c r="C330" s="66">
        <f t="shared" si="37"/>
        <v>0</v>
      </c>
      <c r="D330" s="320">
        <f>C330*_xlfn.XLOOKUP(B330,Electrical_cables_names_Ass,Assumptions!$E$35:$E$85)</f>
        <v>0</v>
      </c>
      <c r="E330" s="70"/>
      <c r="F330" s="77" t="s">
        <v>419</v>
      </c>
      <c r="G330" s="39">
        <f t="shared" si="41"/>
        <v>5000</v>
      </c>
      <c r="H330" s="72"/>
      <c r="I330" s="49">
        <f t="shared" si="42"/>
        <v>5000</v>
      </c>
      <c r="K330" s="46">
        <f t="shared" si="43"/>
        <v>0</v>
      </c>
      <c r="L330" s="73"/>
    </row>
    <row r="331" spans="2:12" ht="13">
      <c r="B331" s="65" t="str">
        <f t="shared" si="36"/>
        <v>AC Low Voltage Cable</v>
      </c>
      <c r="C331" s="66">
        <f t="shared" si="37"/>
        <v>0</v>
      </c>
      <c r="D331" s="320">
        <f>C331*_xlfn.XLOOKUP(B331,Electrical_cables_names_Ass,Assumptions!$E$35:$E$85)</f>
        <v>0</v>
      </c>
      <c r="E331" s="70"/>
      <c r="F331" s="77" t="s">
        <v>419</v>
      </c>
      <c r="G331" s="39">
        <f t="shared" si="41"/>
        <v>5000</v>
      </c>
      <c r="H331" s="72"/>
      <c r="I331" s="49">
        <f t="shared" si="42"/>
        <v>5000</v>
      </c>
      <c r="K331" s="46">
        <f t="shared" si="43"/>
        <v>0</v>
      </c>
      <c r="L331" s="73"/>
    </row>
    <row r="332" spans="2:12" ht="13">
      <c r="B332" s="65" t="str">
        <f t="shared" si="36"/>
        <v>AC medium Voltage Cable</v>
      </c>
      <c r="C332" s="66">
        <f t="shared" si="37"/>
        <v>0</v>
      </c>
      <c r="D332" s="320">
        <f>C332*_xlfn.XLOOKUP(B332,Electrical_cables_names_Ass,Assumptions!$E$35:$E$85)</f>
        <v>0</v>
      </c>
      <c r="E332" s="70"/>
      <c r="F332" s="77" t="s">
        <v>420</v>
      </c>
      <c r="G332" s="39">
        <f t="shared" si="41"/>
        <v>2500</v>
      </c>
      <c r="H332" s="72"/>
      <c r="I332" s="49">
        <f t="shared" si="42"/>
        <v>2500</v>
      </c>
      <c r="K332" s="46">
        <f t="shared" si="43"/>
        <v>0</v>
      </c>
      <c r="L332" s="73"/>
    </row>
    <row r="333" spans="2:12" ht="13">
      <c r="B333" s="65" t="str">
        <f t="shared" si="36"/>
        <v>Fibre/Control Cable - 0.75mm2</v>
      </c>
      <c r="C333" s="66">
        <f t="shared" si="37"/>
        <v>0</v>
      </c>
      <c r="D333" s="320">
        <f>C333*_xlfn.XLOOKUP(B333,Electrical_cables_names_Ass,Assumptions!$E$35:$E$85)</f>
        <v>0</v>
      </c>
      <c r="E333" s="70"/>
      <c r="F333" s="77" t="s">
        <v>419</v>
      </c>
      <c r="G333" s="39">
        <f t="shared" si="41"/>
        <v>5000</v>
      </c>
      <c r="H333" s="72"/>
      <c r="I333" s="49">
        <f t="shared" si="42"/>
        <v>5000</v>
      </c>
      <c r="K333" s="46">
        <f t="shared" si="43"/>
        <v>0</v>
      </c>
      <c r="L333" s="73"/>
    </row>
    <row r="334" spans="2:12" ht="13">
      <c r="B334" s="81" t="s">
        <v>348</v>
      </c>
      <c r="C334" s="87"/>
      <c r="D334" s="87"/>
      <c r="E334" s="70"/>
      <c r="F334" s="77" t="s">
        <v>419</v>
      </c>
      <c r="G334" s="39">
        <f t="shared" si="41"/>
        <v>5000</v>
      </c>
      <c r="H334" s="72"/>
      <c r="I334" s="49">
        <f t="shared" si="42"/>
        <v>5000</v>
      </c>
      <c r="K334" s="46">
        <f t="shared" si="43"/>
        <v>0</v>
      </c>
      <c r="L334" s="73"/>
    </row>
    <row r="335" spans="2:12" ht="13">
      <c r="B335" s="81" t="s">
        <v>348</v>
      </c>
      <c r="C335" s="87"/>
      <c r="D335" s="87"/>
      <c r="E335" s="70"/>
      <c r="F335" s="77" t="s">
        <v>420</v>
      </c>
      <c r="G335" s="39">
        <f t="shared" si="38"/>
        <v>2500</v>
      </c>
      <c r="H335" s="72"/>
      <c r="I335" s="49">
        <f t="shared" si="39"/>
        <v>2500</v>
      </c>
      <c r="K335" s="46">
        <f t="shared" ref="K335:K337" si="44">D335*I335</f>
        <v>0</v>
      </c>
      <c r="L335" s="73"/>
    </row>
    <row r="336" spans="2:12" ht="13">
      <c r="B336" s="81" t="s">
        <v>348</v>
      </c>
      <c r="C336" s="87"/>
      <c r="D336" s="87"/>
      <c r="E336" s="70"/>
      <c r="F336" s="77" t="s">
        <v>419</v>
      </c>
      <c r="G336" s="39">
        <f t="shared" si="38"/>
        <v>5000</v>
      </c>
      <c r="H336" s="72"/>
      <c r="I336" s="49">
        <f t="shared" si="39"/>
        <v>5000</v>
      </c>
      <c r="K336" s="46">
        <f t="shared" si="44"/>
        <v>0</v>
      </c>
      <c r="L336" s="73"/>
    </row>
    <row r="337" spans="2:12" ht="13">
      <c r="B337" s="81" t="s">
        <v>348</v>
      </c>
      <c r="C337" s="87"/>
      <c r="D337" s="87"/>
      <c r="E337" s="70"/>
      <c r="F337" s="77" t="s">
        <v>420</v>
      </c>
      <c r="G337" s="39">
        <f t="shared" si="38"/>
        <v>2500</v>
      </c>
      <c r="H337" s="72"/>
      <c r="I337" s="49">
        <f t="shared" si="39"/>
        <v>2500</v>
      </c>
      <c r="K337" s="46">
        <f t="shared" si="44"/>
        <v>0</v>
      </c>
      <c r="L337" s="73"/>
    </row>
    <row r="338" spans="2:12" ht="13">
      <c r="F338" s="269"/>
      <c r="L338" s="73"/>
    </row>
    <row r="339" spans="2:12" ht="13">
      <c r="B339" s="256" t="s">
        <v>85</v>
      </c>
      <c r="C339" s="306">
        <f>SUM(C325:C337)</f>
        <v>0</v>
      </c>
      <c r="D339" s="306">
        <f>SUM(D325:D337)</f>
        <v>0</v>
      </c>
      <c r="H339" s="270" t="s">
        <v>421</v>
      </c>
      <c r="I339" s="40">
        <f>IF(C15=0,0,K339/C15)</f>
        <v>0</v>
      </c>
      <c r="J339" s="271" t="s">
        <v>549</v>
      </c>
      <c r="K339" s="36">
        <f>SUM(K324:K338)</f>
        <v>0</v>
      </c>
      <c r="L339" s="73"/>
    </row>
  </sheetData>
  <sheetProtection algorithmName="SHA-512" hashValue="MlY5oDDMnUphHiouRue5PURKXQl8JYutEsjaSFlOOKLPe79EFi+DDSxxddN1UKqa43G9JBAUUctxhOvKpRSJbQ==" saltValue="mE+TcrqdXJzWpTlErum7ig==" spinCount="100000" sheet="1" objects="1" scenarios="1" autoFilter="0"/>
  <phoneticPr fontId="8" type="noConversion"/>
  <dataValidations count="44">
    <dataValidation type="list" allowBlank="1" showInputMessage="1" showErrorMessage="1" sqref="E169 E185 E265" xr:uid="{49165FE2-05D9-4C73-8573-185293D62668}">
      <formula1>Load_haul_dump_soil_ameliorants_from_off_site_names_UR</formula1>
    </dataValidation>
    <dataValidation type="list" allowBlank="1" showInputMessage="1" showErrorMessage="1" sqref="E247 E257 E218 E267 E85" xr:uid="{3C182E66-9FD8-436F-AD4E-33AE65B52E3F}">
      <formula1>Waste_levy_names</formula1>
    </dataValidation>
    <dataValidation type="list" allowBlank="1" showInputMessage="1" showErrorMessage="1" sqref="E184" xr:uid="{D522111B-8089-411F-8016-56BD8C19101F}">
      <formula1>Ameliorants_names</formula1>
    </dataValidation>
    <dataValidation type="list" allowBlank="1" showInputMessage="1" showErrorMessage="1" sqref="E140 E150" xr:uid="{79F3A48D-7E41-488C-808F-641ADFA2FDAA}">
      <formula1>Buildings_by_area_names_UR</formula1>
    </dataValidation>
    <dataValidation type="list" allowBlank="1" showInputMessage="1" showErrorMessage="1" sqref="E91:E108" xr:uid="{2BDE3BC1-3AD6-4567-AA12-20A8DC034AA3}">
      <formula1>Roads_tracks_laydown_list_UR</formula1>
    </dataValidation>
    <dataValidation type="list" allowBlank="1" showInputMessage="1" showErrorMessage="1" sqref="E167" xr:uid="{41328E5E-1234-48DC-98C8-7B0EEA04EF62}">
      <formula1>Load_haul_dump_growth_media_onsite_names_UR</formula1>
    </dataValidation>
    <dataValidation type="list" allowBlank="1" showInputMessage="1" showErrorMessage="1" sqref="E199" xr:uid="{E24BAA62-E7B1-47A0-B26C-8AC709467989}">
      <formula1>Revegetation_names_UR</formula1>
    </dataValidation>
    <dataValidation type="list" allowBlank="1" showInputMessage="1" showErrorMessage="1" sqref="E69 E207 E216 E59" xr:uid="{E0EA4053-DDE8-4390-9806-C94254D70053}">
      <formula1>Long_haul_names_modules_UR</formula1>
    </dataValidation>
    <dataValidation type="list" allowBlank="1" showInputMessage="1" showErrorMessage="1" sqref="E255" xr:uid="{2B0526AB-1AE6-46D3-AAA6-B4BA8670F520}">
      <formula1>Long_haul_names_steel_UR</formula1>
    </dataValidation>
    <dataValidation type="list" allowBlank="1" showInputMessage="1" showErrorMessage="1" sqref="E245 E83" xr:uid="{1A834C66-EFE6-44B8-9E99-09502961B4D6}">
      <formula1>Long_haul_names_concrete_UR</formula1>
    </dataValidation>
    <dataValidation type="list" allowBlank="1" showInputMessage="1" showErrorMessage="1" sqref="E36:E38" xr:uid="{66AC4DB7-E457-4711-BF1E-283A138BC6B3}">
      <formula1>Cable_drums_haul_unload_names_UR</formula1>
    </dataValidation>
    <dataValidation type="list" allowBlank="1" showInputMessage="1" showErrorMessage="1" sqref="E35" xr:uid="{6CCEEA6D-780C-4555-BE67-5935ED1B155D}">
      <formula1>Copper_cables_haul_unload_names_UR</formula1>
    </dataValidation>
    <dataValidation type="list" allowBlank="1" showInputMessage="1" showErrorMessage="1" sqref="C14" xr:uid="{CFED8EE4-A7F2-4F62-A9C0-AE33EC4142EA}">
      <formula1>BESS_models</formula1>
    </dataValidation>
    <dataValidation type="custom" allowBlank="1" showInputMessage="1" showErrorMessage="1" error="Please enter a numeric value." sqref="C11:C13" xr:uid="{59CF8DF3-C021-48EB-B9B6-F00095A4E348}">
      <formula1>ISNUMBER(C11:C13)</formula1>
    </dataValidation>
    <dataValidation type="custom" allowBlank="1" showInputMessage="1" showErrorMessage="1" error="Please enter a numeric value." sqref="C15 C44 H44 H50 H67:H71 H77 H83:H85 H91:H108 H114:H122 H128:H129 H325:H338 H56:H61 H167:H169 H184:H186 H199 H207:H208 H216:H218 H234:H236 H245:H247 H255:H257 H265:H267 H273:H275 H281:H285 H291:H296 H302:H304 H312:H320 H26:H38 H19:H20" xr:uid="{9D60B50F-37A8-47C1-96BD-D71329931B71}">
      <formula1>ISNUMBER(C15)</formula1>
    </dataValidation>
    <dataValidation type="custom" allowBlank="1" showInputMessage="1" showErrorMessage="1" error="Please enter a numeric value." sqref="C135:C139 C145:C149 G316:G320 C58 H145:H149 H135:H139" xr:uid="{BF458548-C3F3-481F-B531-652DF8C06802}">
      <formula1>ISNUMBER(C58:C62)</formula1>
    </dataValidation>
    <dataValidation type="custom" allowBlank="1" showInputMessage="1" showErrorMessage="1" error="Please enter a numeric value." sqref="C128:C129 C77:C78 C67 C56:C57 C19" xr:uid="{D64DD13B-7F44-485A-BA3B-CEBEAA58022E}">
      <formula1>ISNUMBER(C19:C20)</formula1>
    </dataValidation>
    <dataValidation type="custom" allowBlank="1" showInputMessage="1" showErrorMessage="1" error="Please enter a numeric value." sqref="C91:C108" xr:uid="{87C9777D-DB86-4BF2-8D18-16ADF846233D}">
      <formula1>ISNUMBER(C91:C108)</formula1>
    </dataValidation>
    <dataValidation type="custom" allowBlank="1" showInputMessage="1" showErrorMessage="1" error="Please enter a numeric value." sqref="C114:C122" xr:uid="{080EFC10-6C69-4174-90E1-EB0C071B807C}">
      <formula1>ISNUMBER(C114:C122)</formula1>
    </dataValidation>
    <dataValidation type="custom" allowBlank="1" showInputMessage="1" showErrorMessage="1" error="Please enter a numeric value." sqref="C155:C166 C28:C29" xr:uid="{B2A3DE3E-0C50-44A7-8A61-F7EBCC2B47DA}">
      <formula1>ISNUMBER(C28:C39)</formula1>
    </dataValidation>
    <dataValidation type="custom" allowBlank="1" showInputMessage="1" showErrorMessage="1" error="Please enter a numeric value." sqref="C175:C181" xr:uid="{93682AAD-ABD3-4BDA-A391-C4ADCCE8AD7B}">
      <formula1>ISNUMBER(C175:C181)</formula1>
    </dataValidation>
    <dataValidation type="custom" allowBlank="1" showInputMessage="1" showErrorMessage="1" error="Please enter a numeric value. " sqref="C192:C198" xr:uid="{741418B4-B0A4-4E69-ACAB-EA2591BB72AD}">
      <formula1>ISNUMBER(C192:C198)</formula1>
    </dataValidation>
    <dataValidation type="custom" allowBlank="1" showInputMessage="1" showErrorMessage="1" error="Please enter a numeric value. " sqref="C205:C208 C214 C68" xr:uid="{DBE75A0A-5DF9-4D14-89AC-C6BD03C81AC1}">
      <formula1>ISNUMBER(C68:C71)</formula1>
    </dataValidation>
    <dataValidation type="custom" allowBlank="1" showInputMessage="1" showErrorMessage="1" error="Please enter a numeric value. " sqref="C243 C253 C263" xr:uid="{755FD41F-EDBC-4E6F-B8FF-E1F301FFD8E0}">
      <formula1>ISNUMBER(C243)</formula1>
    </dataValidation>
    <dataValidation type="custom" allowBlank="1" showInputMessage="1" showErrorMessage="1" error="Please enter a numeric value. " sqref="C273:C275" xr:uid="{9ECB36A0-1792-4F39-B650-E4E79D108D24}">
      <formula1>ISNUMBER(C273:C275)</formula1>
    </dataValidation>
    <dataValidation type="custom" allowBlank="1" showInputMessage="1" showErrorMessage="1" error="Please enter a numeric value. " sqref="C281:C285" xr:uid="{521B1EEF-E83E-4852-A05C-16DC2A8C8B2F}">
      <formula1>ISNUMBER(C281:C285)</formula1>
    </dataValidation>
    <dataValidation type="custom" allowBlank="1" showInputMessage="1" showErrorMessage="1" error="Please enter a numeric value. " sqref="C291:C296" xr:uid="{0DFA2041-2DD4-4310-B317-7B52B83FB150}">
      <formula1>ISNUMBER(C291:C296)</formula1>
    </dataValidation>
    <dataValidation type="decimal" allowBlank="1" showInputMessage="1" showErrorMessage="1" error="Please enter a valid percentage." sqref="D302:D304" xr:uid="{69D4F7A3-5FE6-4735-AF71-CEC493B36BB6}">
      <formula1>0</formula1>
      <formula2>100</formula2>
    </dataValidation>
    <dataValidation type="custom" allowBlank="1" showInputMessage="1" showErrorMessage="1" error="Please enter a numeric value. " sqref="C224" xr:uid="{4505A433-9B60-4DAC-B225-BE39397B1E53}">
      <formula1>ISNUMBER(C224:C231)</formula1>
    </dataValidation>
    <dataValidation type="custom" allowBlank="1" showInputMessage="1" showErrorMessage="1" error="Please enter a numeric value. " sqref="C232" xr:uid="{04EB7E9B-857B-4124-8500-9979D9DB0AE3}">
      <formula1>ISNUMBER(C232:C244)</formula1>
    </dataValidation>
    <dataValidation type="custom" allowBlank="1" showInputMessage="1" showErrorMessage="1" error="Please enter a numeric value. " sqref="C225" xr:uid="{3F75CCBE-67ED-4195-B3EC-5319F17902EE}">
      <formula1>ISNUMBER(C225:C233)</formula1>
    </dataValidation>
    <dataValidation type="custom" allowBlank="1" showInputMessage="1" showErrorMessage="1" error="Please enter a numeric value. " sqref="C226:C230" xr:uid="{CC201EF6-3846-4C25-B616-E3317D4584B9}">
      <formula1>ISNUMBER(C226:C235)</formula1>
    </dataValidation>
    <dataValidation type="custom" allowBlank="1" showInputMessage="1" showErrorMessage="1" error="Please enter a numeric value. " sqref="C231" xr:uid="{3307C3B6-A8F5-4381-9133-91EFBC10E220}">
      <formula1>ISNUMBER(C231:C241)</formula1>
    </dataValidation>
    <dataValidation type="custom" allowBlank="1" showInputMessage="1" showErrorMessage="1" error="Please enter a numeric value." sqref="C26:C27" xr:uid="{02F1F841-8028-4EC5-9B4E-12D5516A70DB}">
      <formula1>ISNUMBER(C26:C38)</formula1>
    </dataValidation>
    <dataValidation type="custom" allowBlank="1" showInputMessage="1" showErrorMessage="1" error="Please enter a numeric value." sqref="C30:C31" xr:uid="{DB0E9612-B197-4F3B-9DDE-E5073616478D}">
      <formula1>ISNUMBER(C30:C40)</formula1>
    </dataValidation>
    <dataValidation type="custom" allowBlank="1" showInputMessage="1" showErrorMessage="1" error="Please enter a numeric value." sqref="C32:C34" xr:uid="{E99F434E-6043-429A-897E-173B4A5AEFFE}">
      <formula1>ISNUMBER(C32:C41)</formula1>
    </dataValidation>
    <dataValidation type="list" allowBlank="1" showInputMessage="1" showErrorMessage="1" sqref="F325:F338" xr:uid="{E2B77EBE-C97E-4B17-8B0D-27B2E748196E}">
      <formula1>Electrical_cable_material</formula1>
    </dataValidation>
    <dataValidation type="custom" allowBlank="1" showInputMessage="1" showErrorMessage="1" error="Please enter a numeric value. " sqref="C334:D334" xr:uid="{15DBF786-D4B7-40E2-9148-70B01F3FC7EA}">
      <formula1>ISNUMBER(C334:D337)</formula1>
    </dataValidation>
    <dataValidation type="custom" allowBlank="1" showInputMessage="1" showErrorMessage="1" error="Please enter a numeric value. " sqref="C335:D337" xr:uid="{17E6942B-F161-4C32-A4C2-C9FFFD28D734}">
      <formula1>ISNUMBER(C335:D339)</formula1>
    </dataValidation>
    <dataValidation type="custom" allowBlank="1" showInputMessage="1" showErrorMessage="1" error="Please enter a numeric value." sqref="C20" xr:uid="{241930D2-70E8-48F2-A025-26694E2EB780}">
      <formula1>ISNUMBER(C20:C23)</formula1>
    </dataValidation>
    <dataValidation type="custom" allowBlank="1" showInputMessage="1" showErrorMessage="1" error="Please enter a numeric value." sqref="C50" xr:uid="{ECD6B694-4181-46F2-BAB4-4D3B7C58126E}">
      <formula1>ISNUMBER(C50:C50)</formula1>
    </dataValidation>
    <dataValidation type="list" allowBlank="1" showInputMessage="1" showErrorMessage="1" sqref="E275" xr:uid="{65FB99A9-8789-4760-89CB-FCF5FBF69635}">
      <formula1>Mobe_names_land_CS</formula1>
    </dataValidation>
    <dataValidation type="list" allowBlank="1" showInputMessage="1" showErrorMessage="1" sqref="E273" xr:uid="{E9426D42-537D-4283-ACE8-8A5DFB74549C}">
      <formula1>Mobe_names_BESS_CS</formula1>
    </dataValidation>
    <dataValidation type="list" allowBlank="1" showInputMessage="1" showErrorMessage="1" sqref="E274" xr:uid="{7DD01363-1F48-4E9F-A72A-7C187333EB11}">
      <formula1>Mobe_names_electrical_CS</formula1>
    </dataValidation>
  </dataValidations>
  <hyperlinks>
    <hyperlink ref="B4" location="Information" display="Return to Information" xr:uid="{611CBA55-EC85-4771-B52A-EE4E661A897F}"/>
    <hyperlink ref="B6" location="Summary_BESS" display="Summary Page" xr:uid="{81B09D4C-EB87-47C1-B72E-4A093223EF56}"/>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65547F5E-4C54-49B9-84C6-725E78E0A9B7}">
          <x14:formula1>
            <xm:f>'Cost Schedule'!$B$246:$B$256</xm:f>
          </x14:formula1>
          <xm:sqref>E236 E234</xm:sqref>
        </x14:dataValidation>
        <x14:dataValidation type="list" allowBlank="1" showInputMessage="1" showErrorMessage="1" xr:uid="{7F94C020-3780-400B-9C15-2287775DEC2B}">
          <x14:formula1>
            <xm:f>'Cost Schedule'!$B$436:$B$438</xm:f>
          </x14:formula1>
          <xm:sqref>E50</xm:sqref>
        </x14:dataValidation>
        <x14:dataValidation type="list" allowBlank="1" showInputMessage="1" showErrorMessage="1" xr:uid="{00B0DA7A-8616-4A60-8EEB-1C2637BC8F44}">
          <x14:formula1>
            <xm:f>'Cost Schedule'!$B$43:$B$45</xm:f>
          </x14:formula1>
          <xm:sqref>E235</xm:sqref>
        </x14:dataValidation>
        <x14:dataValidation type="list" allowBlank="1" showInputMessage="1" showErrorMessage="1" xr:uid="{D02691CC-914B-4E71-A99A-CED970521AB3}">
          <x14:formula1>
            <xm:f>Lists!$B$164:$B$166</xm:f>
          </x14:formula1>
          <xm:sqref>F114:F122 F128:F129</xm:sqref>
        </x14:dataValidation>
        <x14:dataValidation type="list" allowBlank="1" showInputMessage="1" showErrorMessage="1" xr:uid="{A990BB63-50E3-4BCB-986B-BE0FF10998E8}">
          <x14:formula1>
            <xm:f>Lists!$B$33:$B$35</xm:f>
          </x14:formula1>
          <xm:sqref>F91:F108</xm:sqref>
        </x14:dataValidation>
        <x14:dataValidation type="list" allowBlank="1" showInputMessage="1" showErrorMessage="1" xr:uid="{E93F411C-D759-451A-9DE2-344534140146}">
          <x14:formula1>
            <xm:f>'Cost Schedule'!$B$222:$B$224</xm:f>
          </x14:formula1>
          <xm:sqref>E114:E122</xm:sqref>
        </x14:dataValidation>
        <x14:dataValidation type="list" allowBlank="1" showInputMessage="1" showErrorMessage="1" xr:uid="{9392EB3A-D843-4A05-A531-23149B81398F}">
          <x14:formula1>
            <xm:f>Rates!$B$122:$B$123</xm:f>
          </x14:formula1>
          <xm:sqref>E208 E217</xm:sqref>
        </x14:dataValidation>
        <x14:dataValidation type="list" allowBlank="1" showInputMessage="1" showErrorMessage="1" xr:uid="{79FEE282-5C96-4972-874A-AD403AE3F196}">
          <x14:formula1>
            <xm:f>'Cost Schedule'!$B$6:$B$8</xm:f>
          </x14:formula1>
          <xm:sqref>E128:E129</xm:sqref>
        </x14:dataValidation>
        <x14:dataValidation type="list" allowBlank="1" showInputMessage="1" showErrorMessage="1" xr:uid="{FEE55ACC-524C-41EA-8AB1-34DF95296BAF}">
          <x14:formula1>
            <xm:f>Assumptions!$B$74:$B$78</xm:f>
          </x14:formula1>
          <xm:sqref>E34</xm:sqref>
        </x14:dataValidation>
        <x14:dataValidation type="list" allowBlank="1" showInputMessage="1" showErrorMessage="1" xr:uid="{50A6930F-EAB4-4EF4-B2A0-074AD918A6A5}">
          <x14:formula1>
            <xm:f>'Cost Schedule'!$B$59:$B$61</xm:f>
          </x14:formula1>
          <xm:sqref>E26:E27</xm:sqref>
        </x14:dataValidation>
        <x14:dataValidation type="list" allowBlank="1" showInputMessage="1" showErrorMessage="1" xr:uid="{E5273101-3415-4FC8-9646-825F8149EADE}">
          <x14:formula1>
            <xm:f>'Cost Schedule'!$B$30:$B$34</xm:f>
          </x14:formula1>
          <xm:sqref>E135:E139</xm:sqref>
        </x14:dataValidation>
        <x14:dataValidation type="list" allowBlank="1" showInputMessage="1" showErrorMessage="1" xr:uid="{BF6C5FBF-EA46-48C0-9140-60ECC57AD99C}">
          <x14:formula1>
            <xm:f>'Cost Schedule'!$B$62:$B$78</xm:f>
          </x14:formula1>
          <xm:sqref>E28:E31</xm:sqref>
        </x14:dataValidation>
        <x14:dataValidation type="list" allowBlank="1" showInputMessage="1" showErrorMessage="1" xr:uid="{A121BBF7-3126-4445-9C68-06F5F5282A8A}">
          <x14:formula1>
            <xm:f>'Cost Schedule'!$B$96:$B$97</xm:f>
          </x14:formula1>
          <xm:sqref>E32:E33</xm:sqref>
        </x14:dataValidation>
        <x14:dataValidation type="list" allowBlank="1" showInputMessage="1" showErrorMessage="1" xr:uid="{23B99D81-0B2F-4AA3-A2B2-CE3FC0F6A7F8}">
          <x14:formula1>
            <xm:f>'Cost Schedule'!$B$37:$B$40</xm:f>
          </x14:formula1>
          <xm:sqref>E145:E149</xm:sqref>
        </x14:dataValidation>
        <x14:dataValidation type="list" allowBlank="1" showInputMessage="1" showErrorMessage="1" xr:uid="{5109688F-8976-4629-B4B6-541D1E50985C}">
          <x14:formula1>
            <xm:f>Rates!$B$114:$B$115</xm:f>
          </x14:formula1>
          <xm:sqref>E266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4744B-E4A8-43A9-A18A-DA011D174F1D}">
  <sheetPr codeName="Sheet8">
    <tabColor theme="9"/>
  </sheetPr>
  <dimension ref="A2:L284"/>
  <sheetViews>
    <sheetView showGridLines="0" zoomScale="72" zoomScaleNormal="100" workbookViewId="0">
      <pane xSplit="4" ySplit="8" topLeftCell="E9" activePane="bottomRight" state="frozen"/>
      <selection pane="topRight" activeCell="E1" sqref="E1"/>
      <selection pane="bottomLeft" activeCell="A10" sqref="A10"/>
      <selection pane="bottomRight"/>
    </sheetView>
  </sheetViews>
  <sheetFormatPr defaultColWidth="8.7265625" defaultRowHeight="12.5"/>
  <cols>
    <col min="1" max="1" width="1.81640625" style="244" customWidth="1"/>
    <col min="2" max="2" width="53.81640625" style="244" customWidth="1"/>
    <col min="3" max="3" width="13.7265625" style="244" customWidth="1"/>
    <col min="4" max="4" width="21" style="244" customWidth="1"/>
    <col min="5" max="5" width="62.7265625" style="244" customWidth="1"/>
    <col min="6" max="6" width="14.54296875" style="244" customWidth="1"/>
    <col min="7" max="7" width="13.26953125" style="244" customWidth="1"/>
    <col min="8" max="8" width="12.54296875" style="244" customWidth="1"/>
    <col min="9" max="9" width="14" style="244" customWidth="1"/>
    <col min="10" max="10" width="14.81640625" style="244" customWidth="1"/>
    <col min="11" max="11" width="15.81640625" style="244" customWidth="1"/>
    <col min="12" max="12" width="53.453125" style="244" customWidth="1"/>
    <col min="13" max="16384" width="8.7265625" style="244"/>
  </cols>
  <sheetData>
    <row r="2" spans="2:12" ht="16.5" customHeight="1">
      <c r="B2" s="243" t="str">
        <f>Project_Name</f>
        <v xml:space="preserve">South Australia Hydrogen and Renewable Energy Restoration Cost Estimation Tool </v>
      </c>
      <c r="J2" s="256" t="s">
        <v>127</v>
      </c>
      <c r="K2" s="98">
        <f>F264+K268</f>
        <v>0</v>
      </c>
      <c r="L2" s="99"/>
    </row>
    <row r="3" spans="2:12" ht="3" customHeight="1">
      <c r="J3" s="256"/>
    </row>
    <row r="4" spans="2:12" ht="16.5" customHeight="1">
      <c r="B4" s="37" t="s">
        <v>47</v>
      </c>
      <c r="J4" s="256" t="s">
        <v>128</v>
      </c>
      <c r="K4" s="36">
        <f>K284</f>
        <v>0</v>
      </c>
    </row>
    <row r="5" spans="2:12" ht="3" customHeight="1">
      <c r="J5" s="256"/>
    </row>
    <row r="6" spans="2:12" ht="18" customHeight="1">
      <c r="B6" s="37" t="s">
        <v>129</v>
      </c>
      <c r="E6" s="255"/>
      <c r="F6" s="255"/>
      <c r="G6" s="255"/>
      <c r="H6" s="255"/>
      <c r="I6" s="255"/>
      <c r="J6" s="256" t="s">
        <v>130</v>
      </c>
      <c r="K6" s="36">
        <f>K2-K4</f>
        <v>0</v>
      </c>
    </row>
    <row r="7" spans="2:12" ht="3" customHeight="1">
      <c r="E7" s="244" t="s">
        <v>529</v>
      </c>
    </row>
    <row r="8" spans="2:12" ht="17.25" customHeight="1">
      <c r="B8" s="221" t="s">
        <v>571</v>
      </c>
      <c r="C8" s="221"/>
      <c r="D8" s="221"/>
      <c r="E8" s="221"/>
      <c r="F8" s="221"/>
      <c r="G8" s="221"/>
      <c r="H8" s="221"/>
      <c r="I8" s="221"/>
      <c r="J8" s="221"/>
      <c r="K8" s="221"/>
      <c r="L8" s="221" t="s">
        <v>132</v>
      </c>
    </row>
    <row r="9" spans="2:12" ht="13">
      <c r="B9" s="265"/>
      <c r="C9" s="265"/>
      <c r="D9" s="265"/>
      <c r="G9" s="265"/>
      <c r="H9" s="265"/>
      <c r="I9" s="265"/>
      <c r="J9" s="265"/>
      <c r="K9" s="265"/>
      <c r="L9" s="265"/>
    </row>
    <row r="10" spans="2:12" ht="13">
      <c r="B10" s="222" t="s">
        <v>133</v>
      </c>
      <c r="C10" s="222"/>
      <c r="D10" s="222"/>
      <c r="E10" s="222"/>
      <c r="F10" s="222"/>
      <c r="G10" s="222"/>
      <c r="H10" s="222"/>
      <c r="I10" s="222"/>
      <c r="J10" s="222"/>
      <c r="K10" s="222"/>
      <c r="L10" s="222"/>
    </row>
    <row r="11" spans="2:12" ht="13">
      <c r="B11" s="38" t="s">
        <v>572</v>
      </c>
      <c r="C11" s="67"/>
      <c r="D11" s="244" t="s">
        <v>135</v>
      </c>
      <c r="G11" s="265"/>
      <c r="H11" s="265"/>
      <c r="I11" s="265"/>
      <c r="J11" s="265"/>
      <c r="K11" s="265"/>
      <c r="L11" s="70"/>
    </row>
    <row r="12" spans="2:12" ht="13">
      <c r="B12" s="38" t="s">
        <v>88</v>
      </c>
      <c r="C12" s="67"/>
      <c r="D12" s="244" t="s">
        <v>573</v>
      </c>
      <c r="G12" s="265"/>
      <c r="H12" s="265"/>
      <c r="I12" s="265"/>
      <c r="J12" s="265"/>
      <c r="K12" s="265"/>
      <c r="L12" s="70"/>
    </row>
    <row r="13" spans="2:12" ht="13">
      <c r="B13" s="38" t="s">
        <v>574</v>
      </c>
      <c r="C13" s="67"/>
      <c r="D13" s="244" t="s">
        <v>89</v>
      </c>
      <c r="G13" s="265"/>
      <c r="H13" s="265"/>
      <c r="I13" s="265"/>
      <c r="J13" s="265"/>
      <c r="K13" s="265"/>
      <c r="L13" s="70"/>
    </row>
    <row r="14" spans="2:12" ht="25">
      <c r="B14" s="38" t="s">
        <v>575</v>
      </c>
      <c r="C14" s="68" t="s">
        <v>138</v>
      </c>
      <c r="G14" s="265"/>
      <c r="H14" s="265"/>
      <c r="I14" s="265"/>
      <c r="J14" s="265"/>
      <c r="K14" s="265"/>
      <c r="L14" s="70"/>
    </row>
    <row r="15" spans="2:12" ht="13">
      <c r="B15" s="38" t="s">
        <v>111</v>
      </c>
      <c r="C15" s="69"/>
      <c r="D15" s="244" t="s">
        <v>200</v>
      </c>
      <c r="G15" s="265"/>
      <c r="H15" s="265"/>
      <c r="I15" s="265"/>
      <c r="J15" s="265"/>
      <c r="K15" s="265"/>
      <c r="L15" s="70"/>
    </row>
    <row r="16" spans="2:12" ht="13">
      <c r="B16" s="38" t="s">
        <v>576</v>
      </c>
      <c r="C16" s="67"/>
      <c r="D16" s="244" t="s">
        <v>577</v>
      </c>
      <c r="G16" s="265"/>
      <c r="H16" s="265"/>
      <c r="I16" s="265"/>
      <c r="J16" s="265"/>
      <c r="K16" s="265"/>
      <c r="L16" s="70"/>
    </row>
    <row r="17" spans="1:12">
      <c r="L17" s="70"/>
    </row>
    <row r="18" spans="1:12" ht="13">
      <c r="B18" s="222" t="s">
        <v>578</v>
      </c>
      <c r="C18" s="222"/>
      <c r="D18" s="222"/>
      <c r="E18" s="222"/>
      <c r="F18" s="222"/>
      <c r="G18" s="222"/>
      <c r="H18" s="222"/>
      <c r="I18" s="222"/>
      <c r="J18" s="222"/>
      <c r="K18" s="222"/>
      <c r="L18" s="222"/>
    </row>
    <row r="19" spans="1:12" ht="20.25" customHeight="1">
      <c r="B19" s="266" t="s">
        <v>141</v>
      </c>
      <c r="C19" s="267" t="s">
        <v>142</v>
      </c>
      <c r="D19" s="267" t="s">
        <v>82</v>
      </c>
      <c r="E19" s="265"/>
      <c r="G19" s="268" t="s">
        <v>81</v>
      </c>
      <c r="H19" s="268" t="s">
        <v>143</v>
      </c>
      <c r="I19" s="268" t="s">
        <v>144</v>
      </c>
      <c r="J19" s="268" t="s">
        <v>145</v>
      </c>
      <c r="K19" s="268" t="s">
        <v>146</v>
      </c>
      <c r="L19" s="70"/>
    </row>
    <row r="20" spans="1:12" ht="13">
      <c r="B20" s="38" t="str">
        <f>'Cost Schedule'!B55</f>
        <v>GreenH2 disconnect from power supply</v>
      </c>
      <c r="C20" s="69"/>
      <c r="D20" s="244" t="s">
        <v>147</v>
      </c>
      <c r="E20" s="263"/>
      <c r="F20" s="269"/>
      <c r="G20" s="39">
        <f>'Cost Schedule'!C55</f>
        <v>2032.8097350179319</v>
      </c>
      <c r="H20" s="72"/>
      <c r="I20" s="40">
        <f>IF(H20="",G20,H20)</f>
        <v>2032.8097350179319</v>
      </c>
      <c r="J20" s="244" t="s">
        <v>148</v>
      </c>
      <c r="K20" s="46">
        <f>I20*C20</f>
        <v>0</v>
      </c>
      <c r="L20" s="73"/>
    </row>
    <row r="21" spans="1:12" ht="13">
      <c r="B21" s="38" t="str">
        <f>'Cost Schedule'!B56</f>
        <v>Diesel generators</v>
      </c>
      <c r="C21" s="69"/>
      <c r="D21" s="244" t="s">
        <v>579</v>
      </c>
      <c r="E21" s="263"/>
      <c r="F21" s="269"/>
      <c r="G21" s="39">
        <f>'Cost Schedule'!C56</f>
        <v>416.27249999999998</v>
      </c>
      <c r="H21" s="72"/>
      <c r="I21" s="40">
        <f>IF(H21="",G21,H21)</f>
        <v>416.27249999999998</v>
      </c>
      <c r="J21" s="244" t="s">
        <v>148</v>
      </c>
      <c r="K21" s="46">
        <f>I21*C21</f>
        <v>0</v>
      </c>
      <c r="L21" s="73"/>
    </row>
    <row r="22" spans="1:12" s="219" customFormat="1">
      <c r="C22" s="351"/>
      <c r="L22" s="70"/>
    </row>
    <row r="23" spans="1:12" s="219" customFormat="1" ht="13">
      <c r="B23" s="225" t="s">
        <v>83</v>
      </c>
      <c r="C23" s="100">
        <f>SUM(C19:C22)</f>
        <v>0</v>
      </c>
      <c r="D23" s="244" t="s">
        <v>147</v>
      </c>
      <c r="H23" s="280" t="str">
        <f>CONCATENATE("Cost to ",B18)</f>
        <v>Cost to Disconnect power supply and diesel generators</v>
      </c>
      <c r="I23" s="40">
        <f>IF(C23=0,0,K23/C23)</f>
        <v>0</v>
      </c>
      <c r="J23" s="271" t="s">
        <v>532</v>
      </c>
      <c r="K23" s="101">
        <f>SUM(K19:K22)</f>
        <v>0</v>
      </c>
      <c r="L23" s="73"/>
    </row>
    <row r="24" spans="1:12" s="219" customFormat="1" ht="13">
      <c r="B24" s="225"/>
      <c r="C24" s="108"/>
      <c r="D24" s="244"/>
      <c r="L24" s="73"/>
    </row>
    <row r="25" spans="1:12" s="263" customFormat="1" ht="13">
      <c r="A25" s="219"/>
      <c r="B25" s="222" t="s">
        <v>580</v>
      </c>
      <c r="C25" s="222"/>
      <c r="D25" s="222"/>
      <c r="E25" s="222"/>
      <c r="F25" s="222"/>
      <c r="G25" s="222"/>
      <c r="H25" s="222"/>
      <c r="I25" s="222"/>
      <c r="J25" s="222"/>
      <c r="K25" s="222"/>
      <c r="L25" s="222"/>
    </row>
    <row r="26" spans="1:12" s="263" customFormat="1" ht="20.25" customHeight="1">
      <c r="B26" s="302" t="s">
        <v>141</v>
      </c>
      <c r="C26" s="303" t="s">
        <v>142</v>
      </c>
      <c r="D26" s="303" t="s">
        <v>82</v>
      </c>
      <c r="E26" s="303" t="s">
        <v>152</v>
      </c>
      <c r="F26" s="303"/>
      <c r="G26" s="304" t="s">
        <v>81</v>
      </c>
      <c r="H26" s="304" t="s">
        <v>143</v>
      </c>
      <c r="I26" s="304" t="s">
        <v>144</v>
      </c>
      <c r="J26" s="304" t="s">
        <v>145</v>
      </c>
      <c r="K26" s="304" t="s">
        <v>146</v>
      </c>
      <c r="L26" s="82"/>
    </row>
    <row r="27" spans="1:12" s="263" customFormat="1" ht="13">
      <c r="B27" s="65" t="str">
        <f>'Cost Schedule'!B48</f>
        <v>GreenH2 small (&lt;=50MW)</v>
      </c>
      <c r="C27" s="69"/>
      <c r="D27" s="263" t="str">
        <f>'Cost Schedule'!D48</f>
        <v>plant</v>
      </c>
      <c r="G27" s="209">
        <f>'Cost Schedule'!C48</f>
        <v>100000</v>
      </c>
      <c r="H27" s="210"/>
      <c r="I27" s="211">
        <f>IF(H27="",G27,H27)</f>
        <v>100000</v>
      </c>
      <c r="J27" s="263" t="str">
        <f>'Cost Schedule'!D48</f>
        <v>plant</v>
      </c>
      <c r="K27" s="46">
        <f>I27*C27</f>
        <v>0</v>
      </c>
      <c r="L27" s="73"/>
    </row>
    <row r="28" spans="1:12" s="263" customFormat="1" ht="13">
      <c r="B28" s="65" t="str">
        <f>'Cost Schedule'!B49</f>
        <v>GreenH2 medium (50 to 500MW)</v>
      </c>
      <c r="C28" s="69"/>
      <c r="D28" s="263" t="str">
        <f>'Cost Schedule'!D49</f>
        <v>plant</v>
      </c>
      <c r="G28" s="209">
        <f>'Cost Schedule'!C49</f>
        <v>250000</v>
      </c>
      <c r="H28" s="210"/>
      <c r="I28" s="211">
        <f t="shared" ref="I28:I29" si="0">IF(H28="",G28,H28)</f>
        <v>250000</v>
      </c>
      <c r="J28" s="263" t="str">
        <f>'Cost Schedule'!D49</f>
        <v>plant</v>
      </c>
      <c r="K28" s="46">
        <f t="shared" ref="K28:K29" si="1">I28*C28</f>
        <v>0</v>
      </c>
      <c r="L28" s="73"/>
    </row>
    <row r="29" spans="1:12" s="263" customFormat="1" ht="13">
      <c r="B29" s="65" t="str">
        <f>'Cost Schedule'!B50</f>
        <v>GreenH2 large (&gt; 500MW)</v>
      </c>
      <c r="C29" s="69"/>
      <c r="D29" s="263" t="str">
        <f>'Cost Schedule'!D50</f>
        <v>plant</v>
      </c>
      <c r="G29" s="209">
        <f>'Cost Schedule'!C50</f>
        <v>500000</v>
      </c>
      <c r="H29" s="210"/>
      <c r="I29" s="211">
        <f t="shared" si="0"/>
        <v>500000</v>
      </c>
      <c r="J29" s="263" t="str">
        <f>'Cost Schedule'!D50</f>
        <v>plant</v>
      </c>
      <c r="K29" s="46">
        <f t="shared" si="1"/>
        <v>0</v>
      </c>
      <c r="L29" s="82"/>
    </row>
    <row r="30" spans="1:12" s="263" customFormat="1">
      <c r="C30" s="348"/>
      <c r="K30" s="244"/>
      <c r="L30" s="82"/>
    </row>
    <row r="31" spans="1:12" s="263" customFormat="1" ht="13">
      <c r="B31" s="309" t="str">
        <f>B$23</f>
        <v>Totals</v>
      </c>
      <c r="C31" s="342">
        <f>SUM(C26:C30)</f>
        <v>0</v>
      </c>
      <c r="D31" s="263" t="s">
        <v>581</v>
      </c>
      <c r="H31" s="280" t="str">
        <f>CONCATENATE("Cost to ",B25)</f>
        <v>Cost to Depressurise and remove residual hydrogen gas</v>
      </c>
      <c r="I31" s="51">
        <f>IF(C31=0,0,K31/C31)</f>
        <v>0</v>
      </c>
      <c r="J31" s="281" t="s">
        <v>582</v>
      </c>
      <c r="K31" s="44">
        <f>SUM(K26:K30)</f>
        <v>0</v>
      </c>
      <c r="L31" s="82"/>
    </row>
    <row r="32" spans="1:12" s="263" customFormat="1">
      <c r="L32" s="82"/>
    </row>
    <row r="33" spans="1:12" ht="13">
      <c r="A33" s="263"/>
      <c r="B33" s="222" t="s">
        <v>583</v>
      </c>
      <c r="C33" s="222"/>
      <c r="D33" s="222"/>
      <c r="E33" s="222"/>
      <c r="F33" s="222"/>
      <c r="G33" s="222"/>
      <c r="H33" s="222"/>
      <c r="I33" s="222"/>
      <c r="J33" s="222"/>
      <c r="K33" s="222"/>
      <c r="L33" s="222"/>
    </row>
    <row r="34" spans="1:12" ht="21" customHeight="1">
      <c r="B34" s="266" t="s">
        <v>141</v>
      </c>
      <c r="C34" s="267" t="s">
        <v>142</v>
      </c>
      <c r="D34" s="267" t="s">
        <v>82</v>
      </c>
      <c r="E34" s="269" t="s">
        <v>409</v>
      </c>
      <c r="F34" s="269"/>
      <c r="G34" s="268" t="s">
        <v>81</v>
      </c>
      <c r="H34" s="268" t="s">
        <v>143</v>
      </c>
      <c r="I34" s="268" t="s">
        <v>144</v>
      </c>
      <c r="J34" s="268" t="s">
        <v>145</v>
      </c>
      <c r="K34" s="268" t="s">
        <v>146</v>
      </c>
      <c r="L34" s="70"/>
    </row>
    <row r="35" spans="1:12" ht="13">
      <c r="B35" s="65" t="str">
        <f>'Cost Schedule'!B103</f>
        <v>Remove and dispose liquids</v>
      </c>
      <c r="C35" s="67"/>
      <c r="D35" s="244" t="s">
        <v>584</v>
      </c>
      <c r="E35" s="343" t="str">
        <f>C$14</f>
        <v>Select make and model</v>
      </c>
      <c r="G35" s="39">
        <f>'Cost Schedule'!C103</f>
        <v>18.8</v>
      </c>
      <c r="H35" s="72"/>
      <c r="I35" s="40">
        <f t="shared" ref="I35:I38" si="2">IF(H35="",G35,H35)</f>
        <v>18.8</v>
      </c>
      <c r="J35" s="244" t="s">
        <v>445</v>
      </c>
      <c r="K35" s="46">
        <f t="shared" ref="K35" si="3">C35*I35</f>
        <v>0</v>
      </c>
      <c r="L35" s="73"/>
    </row>
    <row r="36" spans="1:12" ht="13">
      <c r="B36" s="65" t="str">
        <f>'Cost Schedule'!B104</f>
        <v xml:space="preserve">Disconnect and remove modules  / skids / containers unit rates </v>
      </c>
      <c r="C36" s="67"/>
      <c r="D36" s="244" t="s">
        <v>585</v>
      </c>
      <c r="G36" s="39">
        <f>'Cost Schedule'!C104</f>
        <v>7205.1178801434544</v>
      </c>
      <c r="H36" s="72"/>
      <c r="I36" s="40">
        <f t="shared" si="2"/>
        <v>7205.1178801434544</v>
      </c>
      <c r="J36" s="244" t="s">
        <v>586</v>
      </c>
      <c r="K36" s="46">
        <f>C36*I36</f>
        <v>0</v>
      </c>
      <c r="L36" s="70"/>
    </row>
    <row r="37" spans="1:12" ht="13">
      <c r="B37" s="65" t="str">
        <f>'Cost Schedule'!B105</f>
        <v xml:space="preserve">Disconnect and remove modules  / skids / containers unit rates </v>
      </c>
      <c r="C37" s="67"/>
      <c r="D37" s="244" t="s">
        <v>587</v>
      </c>
      <c r="G37" s="39">
        <f>'Cost Schedule'!C105</f>
        <v>12871.676820215182</v>
      </c>
      <c r="H37" s="72"/>
      <c r="I37" s="40">
        <f t="shared" si="2"/>
        <v>12871.676820215182</v>
      </c>
      <c r="J37" s="244" t="s">
        <v>586</v>
      </c>
      <c r="K37" s="46">
        <f>C37*I37</f>
        <v>0</v>
      </c>
      <c r="L37" s="73"/>
    </row>
    <row r="38" spans="1:12" ht="13">
      <c r="B38" s="65" t="s">
        <v>588</v>
      </c>
      <c r="C38" s="320">
        <f>_xlfn.XLOOKUP(E38,Long_haul_names_modules_UR,Load_haul_dump_modules_distance_avg)*SUM(C36:C37)</f>
        <v>0</v>
      </c>
      <c r="D38" s="244" t="s">
        <v>542</v>
      </c>
      <c r="E38" s="76" t="s">
        <v>1364</v>
      </c>
      <c r="G38" s="39">
        <f>_xlfn.XLOOKUP(E38,Long_haul_names_modules_UR,Long_haul_rates_modules_UR)</f>
        <v>290.92848904267589</v>
      </c>
      <c r="H38" s="72"/>
      <c r="I38" s="40">
        <f t="shared" si="2"/>
        <v>290.92848904267589</v>
      </c>
      <c r="J38" s="244" t="s">
        <v>542</v>
      </c>
      <c r="K38" s="46">
        <f>C38*I38</f>
        <v>0</v>
      </c>
      <c r="L38" s="70"/>
    </row>
    <row r="39" spans="1:12">
      <c r="C39" s="291"/>
      <c r="K39" s="287"/>
      <c r="L39" s="73"/>
    </row>
    <row r="40" spans="1:12" ht="13">
      <c r="B40" s="309" t="str">
        <f>B$23</f>
        <v>Totals</v>
      </c>
      <c r="C40" s="342">
        <f>C$15</f>
        <v>0</v>
      </c>
      <c r="D40" s="244" t="s">
        <v>112</v>
      </c>
      <c r="H40" s="280" t="str">
        <f>CONCATENATE("Cost to ",B33)</f>
        <v>Cost to Drain, remove and transport electrolysers</v>
      </c>
      <c r="I40" s="40">
        <f>IF(C40=0,0,K40/C40)</f>
        <v>0</v>
      </c>
      <c r="J40" s="271" t="s">
        <v>549</v>
      </c>
      <c r="K40" s="101">
        <f>SUM(K34:K39)</f>
        <v>0</v>
      </c>
      <c r="L40" s="70"/>
    </row>
    <row r="41" spans="1:12">
      <c r="L41" s="73"/>
    </row>
    <row r="42" spans="1:12" ht="13">
      <c r="B42" s="222" t="s">
        <v>589</v>
      </c>
      <c r="C42" s="222"/>
      <c r="D42" s="222"/>
      <c r="E42" s="222"/>
      <c r="F42" s="222"/>
      <c r="G42" s="222"/>
      <c r="H42" s="222"/>
      <c r="I42" s="222"/>
      <c r="J42" s="222"/>
      <c r="K42" s="222"/>
      <c r="L42" s="222"/>
    </row>
    <row r="43" spans="1:12" ht="22.5" customHeight="1">
      <c r="B43" s="266" t="s">
        <v>141</v>
      </c>
      <c r="C43" s="267" t="s">
        <v>142</v>
      </c>
      <c r="D43" s="267" t="s">
        <v>82</v>
      </c>
      <c r="E43" s="269" t="s">
        <v>409</v>
      </c>
      <c r="F43" s="269"/>
      <c r="G43" s="268" t="s">
        <v>81</v>
      </c>
      <c r="H43" s="268" t="s">
        <v>143</v>
      </c>
      <c r="I43" s="268" t="s">
        <v>144</v>
      </c>
      <c r="J43" s="268" t="s">
        <v>145</v>
      </c>
      <c r="K43" s="268" t="s">
        <v>146</v>
      </c>
      <c r="L43" s="70"/>
    </row>
    <row r="44" spans="1:12">
      <c r="B44" s="104" t="s">
        <v>590</v>
      </c>
      <c r="C44" s="67"/>
      <c r="D44" s="244" t="s">
        <v>591</v>
      </c>
      <c r="E44" s="343" t="str">
        <f>C$14</f>
        <v>Select make and model</v>
      </c>
      <c r="L44" s="73"/>
    </row>
    <row r="45" spans="1:12" ht="13">
      <c r="B45" s="104" t="s">
        <v>592</v>
      </c>
      <c r="C45" s="69"/>
      <c r="D45" s="244" t="s">
        <v>593</v>
      </c>
      <c r="G45" s="39">
        <f>'Cost Schedule'!C106</f>
        <v>10797.117880143454</v>
      </c>
      <c r="H45" s="72"/>
      <c r="I45" s="40">
        <f t="shared" ref="I45:I46" si="4">IF(H45="",G45,H45)</f>
        <v>10797.117880143454</v>
      </c>
      <c r="J45" s="244" t="s">
        <v>581</v>
      </c>
      <c r="K45" s="46">
        <f>C45*I45</f>
        <v>0</v>
      </c>
      <c r="L45" s="70"/>
    </row>
    <row r="46" spans="1:12" ht="13">
      <c r="B46" s="104" t="s">
        <v>594</v>
      </c>
      <c r="C46" s="109">
        <f>C45</f>
        <v>0</v>
      </c>
      <c r="D46" s="244" t="s">
        <v>595</v>
      </c>
      <c r="E46" s="76" t="s">
        <v>541</v>
      </c>
      <c r="G46" s="39">
        <f>_xlfn.XLOOKUP(E46,Long_haul_names_modules_UR,Long_haul_rates_modules_UR)</f>
        <v>107.78662053056517</v>
      </c>
      <c r="H46" s="72"/>
      <c r="I46" s="40">
        <f t="shared" si="4"/>
        <v>107.78662053056517</v>
      </c>
      <c r="J46" s="244" t="s">
        <v>581</v>
      </c>
      <c r="K46" s="46">
        <f>C46*I46</f>
        <v>0</v>
      </c>
      <c r="L46" s="73"/>
    </row>
    <row r="47" spans="1:12">
      <c r="C47" s="338"/>
      <c r="K47" s="287"/>
      <c r="L47" s="73"/>
    </row>
    <row r="48" spans="1:12" ht="13">
      <c r="B48" s="309" t="str">
        <f>B$23</f>
        <v>Totals</v>
      </c>
      <c r="C48" s="342">
        <f>C45</f>
        <v>0</v>
      </c>
      <c r="D48" s="244" t="s">
        <v>112</v>
      </c>
      <c r="H48" s="280" t="str">
        <f>CONCATENATE("Cost to ",B42)</f>
        <v>Cost to Drain, remove and transport water supply and purification</v>
      </c>
      <c r="I48" s="40">
        <f>IF(C48=0,0,K48/C48)</f>
        <v>0</v>
      </c>
      <c r="J48" s="271" t="s">
        <v>549</v>
      </c>
      <c r="K48" s="101">
        <f>SUM(K43:K47)</f>
        <v>0</v>
      </c>
      <c r="L48" s="70"/>
    </row>
    <row r="49" spans="2:12">
      <c r="L49" s="73"/>
    </row>
    <row r="50" spans="2:12" ht="13">
      <c r="B50" s="222" t="s">
        <v>596</v>
      </c>
      <c r="C50" s="222"/>
      <c r="D50" s="222"/>
      <c r="E50" s="222"/>
      <c r="F50" s="222"/>
      <c r="G50" s="222"/>
      <c r="H50" s="222"/>
      <c r="I50" s="222"/>
      <c r="J50" s="222"/>
      <c r="K50" s="222"/>
      <c r="L50" s="222"/>
    </row>
    <row r="51" spans="2:12" ht="22.5" customHeight="1">
      <c r="B51" s="266" t="s">
        <v>141</v>
      </c>
      <c r="C51" s="267" t="s">
        <v>142</v>
      </c>
      <c r="D51" s="267" t="s">
        <v>82</v>
      </c>
      <c r="E51" s="269" t="s">
        <v>409</v>
      </c>
      <c r="F51" s="269"/>
      <c r="G51" s="268" t="s">
        <v>81</v>
      </c>
      <c r="H51" s="268" t="s">
        <v>143</v>
      </c>
      <c r="I51" s="268" t="s">
        <v>144</v>
      </c>
      <c r="J51" s="268" t="s">
        <v>145</v>
      </c>
      <c r="K51" s="268" t="s">
        <v>146</v>
      </c>
      <c r="L51" s="70"/>
    </row>
    <row r="52" spans="2:12" ht="13">
      <c r="B52" s="104" t="s">
        <v>597</v>
      </c>
      <c r="C52" s="69"/>
      <c r="D52" s="244" t="s">
        <v>598</v>
      </c>
      <c r="G52" s="39">
        <f>'Cost Schedule'!C107</f>
        <v>8797.5978801434539</v>
      </c>
      <c r="H52" s="72"/>
      <c r="I52" s="40">
        <f t="shared" ref="I52" si="5">IF(H52="",G52,H52)</f>
        <v>8797.5978801434539</v>
      </c>
      <c r="J52" s="244" t="s">
        <v>599</v>
      </c>
      <c r="K52" s="46">
        <f>C52*I52</f>
        <v>0</v>
      </c>
      <c r="L52" s="73"/>
    </row>
    <row r="53" spans="2:12">
      <c r="B53" s="104" t="s">
        <v>600</v>
      </c>
      <c r="C53" s="66">
        <f>_xlfn.XLOOKUP(E54,Long_haul_names_modules_UR,Load_haul_dump_modules_distance_avg)</f>
        <v>250</v>
      </c>
      <c r="D53" s="244" t="s">
        <v>155</v>
      </c>
      <c r="L53" s="73"/>
    </row>
    <row r="54" spans="2:12" ht="13">
      <c r="B54" s="104" t="s">
        <v>601</v>
      </c>
      <c r="C54" s="109">
        <f>C53*C52</f>
        <v>0</v>
      </c>
      <c r="D54" s="244" t="s">
        <v>598</v>
      </c>
      <c r="E54" s="76" t="s">
        <v>1365</v>
      </c>
      <c r="G54" s="48">
        <f>_xlfn.XLOOKUP(E54,Long_haul_names_modules_UR,Long_haul_rates_modules_UR)</f>
        <v>21.709942329873126</v>
      </c>
      <c r="H54" s="72"/>
      <c r="I54" s="40">
        <f t="shared" ref="I54" si="6">IF(H54="",G54,H54)</f>
        <v>21.709942329873126</v>
      </c>
      <c r="J54" s="244" t="s">
        <v>599</v>
      </c>
      <c r="K54" s="46">
        <f>C54*I54</f>
        <v>0</v>
      </c>
      <c r="L54" s="70"/>
    </row>
    <row r="55" spans="2:12">
      <c r="C55" s="338"/>
      <c r="K55" s="287"/>
      <c r="L55" s="73"/>
    </row>
    <row r="56" spans="2:12" ht="13">
      <c r="B56" s="309" t="str">
        <f>B$23</f>
        <v>Totals</v>
      </c>
      <c r="C56" s="342">
        <f>C52</f>
        <v>0</v>
      </c>
      <c r="D56" s="244" t="s">
        <v>598</v>
      </c>
      <c r="H56" s="280" t="str">
        <f>CONCATENATE("Cost to ",B50)</f>
        <v>Cost to Remove and transport hydrogen compressors</v>
      </c>
      <c r="I56" s="40">
        <f>IF(C56=0,0,K56/C56)</f>
        <v>0</v>
      </c>
      <c r="J56" s="271" t="s">
        <v>549</v>
      </c>
      <c r="K56" s="101">
        <f>SUM(K51:K55)</f>
        <v>0</v>
      </c>
      <c r="L56" s="70"/>
    </row>
    <row r="57" spans="2:12">
      <c r="L57" s="73"/>
    </row>
    <row r="58" spans="2:12" ht="13">
      <c r="B58" s="222" t="s">
        <v>602</v>
      </c>
      <c r="C58" s="222"/>
      <c r="D58" s="222"/>
      <c r="E58" s="222"/>
      <c r="F58" s="222"/>
      <c r="G58" s="222"/>
      <c r="H58" s="222"/>
      <c r="I58" s="222"/>
      <c r="J58" s="222"/>
      <c r="K58" s="222"/>
      <c r="L58" s="222"/>
    </row>
    <row r="59" spans="2:12" ht="22.5" customHeight="1">
      <c r="B59" s="266" t="s">
        <v>141</v>
      </c>
      <c r="C59" s="267" t="s">
        <v>142</v>
      </c>
      <c r="D59" s="267" t="s">
        <v>82</v>
      </c>
      <c r="E59" s="269" t="s">
        <v>409</v>
      </c>
      <c r="F59" s="269"/>
      <c r="G59" s="268" t="s">
        <v>81</v>
      </c>
      <c r="H59" s="268" t="s">
        <v>143</v>
      </c>
      <c r="I59" s="268" t="s">
        <v>144</v>
      </c>
      <c r="J59" s="268" t="s">
        <v>145</v>
      </c>
      <c r="K59" s="268" t="s">
        <v>146</v>
      </c>
      <c r="L59" s="70"/>
    </row>
    <row r="60" spans="2:12" ht="13">
      <c r="B60" s="65" t="str">
        <f>'Cost Schedule'!B108</f>
        <v>Horizontal, Steel wall, Skid base, Single skin, 0.1t</v>
      </c>
      <c r="C60" s="71"/>
      <c r="D60" s="244" t="s">
        <v>603</v>
      </c>
      <c r="G60" s="39">
        <f>'Cost Schedule'!C108</f>
        <v>5506.0574212851252</v>
      </c>
      <c r="H60" s="72"/>
      <c r="I60" s="40">
        <f t="shared" ref="I60" si="7">IF(H60="",G60,H60)</f>
        <v>5506.0574212851252</v>
      </c>
      <c r="J60" s="244" t="s">
        <v>604</v>
      </c>
      <c r="K60" s="46">
        <f>C60*I60</f>
        <v>0</v>
      </c>
      <c r="L60" s="73"/>
    </row>
    <row r="61" spans="2:12" ht="13">
      <c r="B61" s="65" t="str">
        <f>'Cost Schedule'!B109</f>
        <v>Horizontal, Steel wall, Skid base, Single skin, 0.5t</v>
      </c>
      <c r="C61" s="71"/>
      <c r="D61" s="244" t="s">
        <v>603</v>
      </c>
      <c r="G61" s="39">
        <f>'Cost Schedule'!C109</f>
        <v>6743.0323575575221</v>
      </c>
      <c r="H61" s="72"/>
      <c r="I61" s="40">
        <f t="shared" ref="I61:I66" si="8">IF(H61="",G61,H61)</f>
        <v>6743.0323575575221</v>
      </c>
      <c r="J61" s="244" t="s">
        <v>604</v>
      </c>
      <c r="K61" s="46">
        <f t="shared" ref="K61:K66" si="9">C61*I61</f>
        <v>0</v>
      </c>
      <c r="L61" s="73"/>
    </row>
    <row r="62" spans="2:12" ht="13">
      <c r="B62" s="65" t="str">
        <f>'Cost Schedule'!B110</f>
        <v>Horizontal, Steel wall, Skid base, Double skin, 1t</v>
      </c>
      <c r="C62" s="71"/>
      <c r="D62" s="244" t="s">
        <v>603</v>
      </c>
      <c r="G62" s="39">
        <f>'Cost Schedule'!C110</f>
        <v>13011.979685154376</v>
      </c>
      <c r="H62" s="72"/>
      <c r="I62" s="40">
        <f t="shared" si="8"/>
        <v>13011.979685154376</v>
      </c>
      <c r="J62" s="244" t="s">
        <v>604</v>
      </c>
      <c r="K62" s="46">
        <f t="shared" si="9"/>
        <v>0</v>
      </c>
      <c r="L62" s="73"/>
    </row>
    <row r="63" spans="2:12" ht="13">
      <c r="B63" s="65" t="str">
        <f>'Cost Schedule'!B111</f>
        <v>Horizontal, Steel wall, Skid base, Double skin, 2t</v>
      </c>
      <c r="C63" s="71"/>
      <c r="D63" s="244" t="s">
        <v>603</v>
      </c>
      <c r="G63" s="39">
        <f>'Cost Schedule'!C111</f>
        <v>21820.215210299248</v>
      </c>
      <c r="H63" s="72"/>
      <c r="I63" s="40">
        <f t="shared" si="8"/>
        <v>21820.215210299248</v>
      </c>
      <c r="J63" s="244" t="s">
        <v>604</v>
      </c>
      <c r="K63" s="46">
        <f t="shared" si="9"/>
        <v>0</v>
      </c>
      <c r="L63" s="73"/>
    </row>
    <row r="64" spans="2:12" ht="13">
      <c r="B64" s="65" t="str">
        <f>'Cost Schedule'!B112</f>
        <v>Horizontal, Steel wall, Skid base, Double skin, 5t</v>
      </c>
      <c r="C64" s="71"/>
      <c r="D64" s="244" t="s">
        <v>603</v>
      </c>
      <c r="G64" s="39">
        <f>'Cost Schedule'!C112</f>
        <v>37701.238958416448</v>
      </c>
      <c r="H64" s="72"/>
      <c r="I64" s="40">
        <f t="shared" si="8"/>
        <v>37701.238958416448</v>
      </c>
      <c r="J64" s="244" t="s">
        <v>604</v>
      </c>
      <c r="K64" s="46">
        <f t="shared" si="9"/>
        <v>0</v>
      </c>
      <c r="L64" s="73"/>
    </row>
    <row r="65" spans="2:12" ht="13">
      <c r="B65" s="65" t="str">
        <f>'Cost Schedule'!B113</f>
        <v>Horizontal, Steel wall, Skid base, Double skin, 10t</v>
      </c>
      <c r="C65" s="71"/>
      <c r="D65" s="244" t="s">
        <v>603</v>
      </c>
      <c r="G65" s="39">
        <f>'Cost Schedule'!C113</f>
        <v>101302.27191565862</v>
      </c>
      <c r="H65" s="72"/>
      <c r="I65" s="40">
        <f t="shared" si="8"/>
        <v>101302.27191565862</v>
      </c>
      <c r="J65" s="244" t="s">
        <v>604</v>
      </c>
      <c r="K65" s="46">
        <f t="shared" si="9"/>
        <v>0</v>
      </c>
      <c r="L65" s="73"/>
    </row>
    <row r="66" spans="2:12" ht="13">
      <c r="B66" s="65" t="str">
        <f>'Cost Schedule'!B114</f>
        <v>Horizontal, Steel wall, Skid base, Double skin, 20t</v>
      </c>
      <c r="C66" s="71"/>
      <c r="D66" s="244" t="s">
        <v>603</v>
      </c>
      <c r="G66" s="39">
        <f>'Cost Schedule'!C114</f>
        <v>222594.33534712845</v>
      </c>
      <c r="H66" s="72"/>
      <c r="I66" s="40">
        <f t="shared" si="8"/>
        <v>222594.33534712845</v>
      </c>
      <c r="J66" s="244" t="s">
        <v>604</v>
      </c>
      <c r="K66" s="46">
        <f t="shared" si="9"/>
        <v>0</v>
      </c>
      <c r="L66" s="73"/>
    </row>
    <row r="67" spans="2:12">
      <c r="C67" s="352"/>
      <c r="K67" s="287"/>
      <c r="L67" s="73"/>
    </row>
    <row r="68" spans="2:12" ht="13">
      <c r="B68" s="309" t="str">
        <f>B$23</f>
        <v>Totals</v>
      </c>
      <c r="C68" s="353">
        <f>SUM(C60:C66)</f>
        <v>0</v>
      </c>
      <c r="D68" s="244" t="s">
        <v>603</v>
      </c>
      <c r="H68" s="280" t="str">
        <f>CONCATENATE("Cost to ",B58)</f>
        <v>Cost to Demolish hydrogen storage tanks</v>
      </c>
      <c r="I68" s="40">
        <f>IF(C68=0,0,K68/C68)</f>
        <v>0</v>
      </c>
      <c r="J68" s="271" t="s">
        <v>605</v>
      </c>
      <c r="K68" s="101">
        <f>SUM(K59:K67)</f>
        <v>0</v>
      </c>
      <c r="L68" s="70"/>
    </row>
    <row r="69" spans="2:12">
      <c r="L69" s="73"/>
    </row>
    <row r="70" spans="2:12" ht="13">
      <c r="B70" s="222" t="s">
        <v>606</v>
      </c>
      <c r="C70" s="222"/>
      <c r="D70" s="222"/>
      <c r="E70" s="222"/>
      <c r="F70" s="222"/>
      <c r="G70" s="222"/>
      <c r="H70" s="222"/>
      <c r="I70" s="222"/>
      <c r="J70" s="222"/>
      <c r="K70" s="222"/>
      <c r="L70" s="222"/>
    </row>
    <row r="71" spans="2:12" ht="22.5" customHeight="1">
      <c r="B71" s="266" t="s">
        <v>141</v>
      </c>
      <c r="C71" s="267" t="s">
        <v>142</v>
      </c>
      <c r="D71" s="267" t="s">
        <v>82</v>
      </c>
      <c r="E71" s="269" t="s">
        <v>152</v>
      </c>
      <c r="F71" s="269"/>
      <c r="G71" s="268" t="s">
        <v>81</v>
      </c>
      <c r="H71" s="268" t="s">
        <v>143</v>
      </c>
      <c r="I71" s="268" t="s">
        <v>144</v>
      </c>
      <c r="J71" s="268" t="s">
        <v>145</v>
      </c>
      <c r="K71" s="268" t="s">
        <v>146</v>
      </c>
      <c r="L71" s="70"/>
    </row>
    <row r="72" spans="2:12" ht="13">
      <c r="B72" s="38" t="s">
        <v>213</v>
      </c>
      <c r="C72" s="67"/>
      <c r="D72" s="244" t="s">
        <v>135</v>
      </c>
      <c r="E72" s="74" t="s">
        <v>214</v>
      </c>
      <c r="F72" s="9" t="s">
        <v>215</v>
      </c>
      <c r="G72" s="39" cm="1">
        <f t="array" ref="G72">_xlfn.XLOOKUP(1,('Cost Schedule'!$B$408:$B$425='Green Hydrogen'!E72)*('Cost Schedule'!$A$408:$A$425='Green Hydrogen'!F72),'Cost Schedule'!$C$408:$C$425)</f>
        <v>1226.4586059565711</v>
      </c>
      <c r="H72" s="72"/>
      <c r="I72" s="40">
        <f t="shared" ref="I72:I89" si="10">IF(H72="",G72,H72)</f>
        <v>1226.4586059565711</v>
      </c>
      <c r="J72" s="244" t="s">
        <v>135</v>
      </c>
      <c r="K72" s="46">
        <f t="shared" ref="K72:K89" si="11">I72*C72</f>
        <v>0</v>
      </c>
      <c r="L72" s="73"/>
    </row>
    <row r="73" spans="2:12" s="219" customFormat="1" ht="13">
      <c r="B73" s="38" t="s">
        <v>216</v>
      </c>
      <c r="C73" s="67"/>
      <c r="D73" s="244" t="s">
        <v>135</v>
      </c>
      <c r="E73" s="74" t="s">
        <v>214</v>
      </c>
      <c r="F73" s="9" t="s">
        <v>217</v>
      </c>
      <c r="G73" s="39" cm="1">
        <f t="array" ref="G73">_xlfn.XLOOKUP(1,('Cost Schedule'!$B$408:$B$425='Green Hydrogen'!E73)*('Cost Schedule'!$A$408:$A$425='Green Hydrogen'!F73),'Cost Schedule'!$C$408:$C$425)</f>
        <v>1583.4586059565713</v>
      </c>
      <c r="H73" s="72"/>
      <c r="I73" s="40">
        <f t="shared" si="10"/>
        <v>1583.4586059565713</v>
      </c>
      <c r="J73" s="244" t="s">
        <v>135</v>
      </c>
      <c r="K73" s="46">
        <f t="shared" si="11"/>
        <v>0</v>
      </c>
      <c r="L73" s="73"/>
    </row>
    <row r="74" spans="2:12" s="219" customFormat="1" ht="13">
      <c r="B74" s="38" t="s">
        <v>218</v>
      </c>
      <c r="C74" s="67"/>
      <c r="D74" s="244" t="s">
        <v>135</v>
      </c>
      <c r="E74" s="74" t="s">
        <v>219</v>
      </c>
      <c r="F74" s="9" t="s">
        <v>217</v>
      </c>
      <c r="G74" s="39" cm="1">
        <f t="array" ref="G74">_xlfn.XLOOKUP(1,('Cost Schedule'!$B$408:$B$425='Green Hydrogen'!E74)*('Cost Schedule'!$A$408:$A$425='Green Hydrogen'!F74),'Cost Schedule'!$C$408:$C$425)</f>
        <v>5549.0279822666425</v>
      </c>
      <c r="H74" s="72"/>
      <c r="I74" s="40">
        <f t="shared" si="10"/>
        <v>5549.0279822666425</v>
      </c>
      <c r="J74" s="244" t="s">
        <v>135</v>
      </c>
      <c r="K74" s="46">
        <f t="shared" si="11"/>
        <v>0</v>
      </c>
      <c r="L74" s="73"/>
    </row>
    <row r="75" spans="2:12" s="219" customFormat="1" ht="13">
      <c r="B75" s="38" t="s">
        <v>220</v>
      </c>
      <c r="C75" s="67"/>
      <c r="D75" s="244" t="s">
        <v>135</v>
      </c>
      <c r="E75" s="74" t="s">
        <v>221</v>
      </c>
      <c r="F75" s="9" t="s">
        <v>217</v>
      </c>
      <c r="G75" s="39" cm="1">
        <f t="array" ref="G75">_xlfn.XLOOKUP(1,('Cost Schedule'!$B$408:$B$425='Green Hydrogen'!E75)*('Cost Schedule'!$A$408:$A$425='Green Hydrogen'!F75),'Cost Schedule'!$C$408:$C$425)</f>
        <v>3166.9172119131426</v>
      </c>
      <c r="H75" s="72"/>
      <c r="I75" s="40">
        <f t="shared" si="10"/>
        <v>3166.9172119131426</v>
      </c>
      <c r="J75" s="244" t="s">
        <v>135</v>
      </c>
      <c r="K75" s="46">
        <f t="shared" si="11"/>
        <v>0</v>
      </c>
      <c r="L75" s="73"/>
    </row>
    <row r="76" spans="2:12" s="219" customFormat="1" ht="13">
      <c r="B76" s="38" t="s">
        <v>222</v>
      </c>
      <c r="C76" s="67"/>
      <c r="D76" s="244" t="s">
        <v>135</v>
      </c>
      <c r="E76" s="74" t="s">
        <v>221</v>
      </c>
      <c r="F76" s="9" t="s">
        <v>215</v>
      </c>
      <c r="G76" s="39" cm="1">
        <f t="array" ref="G76">_xlfn.XLOOKUP(1,('Cost Schedule'!$B$408:$B$425='Green Hydrogen'!E76)*('Cost Schedule'!$A$408:$A$425='Green Hydrogen'!F76),'Cost Schedule'!$C$408:$C$425)</f>
        <v>2452.9172119131422</v>
      </c>
      <c r="H76" s="72"/>
      <c r="I76" s="40">
        <f t="shared" si="10"/>
        <v>2452.9172119131422</v>
      </c>
      <c r="J76" s="244" t="s">
        <v>135</v>
      </c>
      <c r="K76" s="46">
        <f t="shared" si="11"/>
        <v>0</v>
      </c>
      <c r="L76" s="73"/>
    </row>
    <row r="77" spans="2:12" s="219" customFormat="1" ht="13">
      <c r="B77" s="38" t="s">
        <v>223</v>
      </c>
      <c r="C77" s="67"/>
      <c r="D77" s="244" t="s">
        <v>135</v>
      </c>
      <c r="E77" s="74" t="s">
        <v>221</v>
      </c>
      <c r="F77" s="9" t="s">
        <v>217</v>
      </c>
      <c r="G77" s="39" cm="1">
        <f t="array" ref="G77">_xlfn.XLOOKUP(1,('Cost Schedule'!$B$408:$B$425='Green Hydrogen'!E77)*('Cost Schedule'!$A$408:$A$425='Green Hydrogen'!F77),'Cost Schedule'!$C$408:$C$425)</f>
        <v>3166.9172119131426</v>
      </c>
      <c r="H77" s="72"/>
      <c r="I77" s="40">
        <f t="shared" si="10"/>
        <v>3166.9172119131426</v>
      </c>
      <c r="J77" s="244" t="s">
        <v>135</v>
      </c>
      <c r="K77" s="46">
        <f t="shared" si="11"/>
        <v>0</v>
      </c>
      <c r="L77" s="73"/>
    </row>
    <row r="78" spans="2:12" s="219" customFormat="1" ht="13">
      <c r="B78" s="38" t="s">
        <v>224</v>
      </c>
      <c r="C78" s="67"/>
      <c r="D78" s="244" t="s">
        <v>135</v>
      </c>
      <c r="E78" s="74" t="s">
        <v>225</v>
      </c>
      <c r="F78" s="9" t="s">
        <v>226</v>
      </c>
      <c r="G78" s="39" cm="1">
        <f t="array" ref="G78">_xlfn.XLOOKUP(1,('Cost Schedule'!$B$408:$B$425='Green Hydrogen'!E78)*('Cost Schedule'!$A$408:$A$425='Green Hydrogen'!F78),'Cost Schedule'!$C$408:$C$425)</f>
        <v>2677.4167052488369</v>
      </c>
      <c r="H78" s="72"/>
      <c r="I78" s="40">
        <f t="shared" si="10"/>
        <v>2677.4167052488369</v>
      </c>
      <c r="J78" s="244" t="s">
        <v>135</v>
      </c>
      <c r="K78" s="46">
        <f t="shared" si="11"/>
        <v>0</v>
      </c>
      <c r="L78" s="73"/>
    </row>
    <row r="79" spans="2:12" s="219" customFormat="1" ht="13">
      <c r="B79" s="38" t="s">
        <v>227</v>
      </c>
      <c r="C79" s="67"/>
      <c r="D79" s="244" t="s">
        <v>135</v>
      </c>
      <c r="E79" s="74" t="s">
        <v>225</v>
      </c>
      <c r="F79" s="9" t="s">
        <v>215</v>
      </c>
      <c r="G79" s="39" cm="1">
        <f t="array" ref="G79">_xlfn.XLOOKUP(1,('Cost Schedule'!$B$408:$B$425='Green Hydrogen'!E79)*('Cost Schedule'!$A$408:$A$425='Green Hydrogen'!F79),'Cost Schedule'!$C$408:$C$425)</f>
        <v>3605.8002317426135</v>
      </c>
      <c r="H79" s="72"/>
      <c r="I79" s="40">
        <f t="shared" si="10"/>
        <v>3605.8002317426135</v>
      </c>
      <c r="J79" s="244" t="s">
        <v>135</v>
      </c>
      <c r="K79" s="46">
        <f t="shared" si="11"/>
        <v>0</v>
      </c>
      <c r="L79" s="73"/>
    </row>
    <row r="80" spans="2:12" s="219" customFormat="1" ht="13">
      <c r="B80" s="38" t="s">
        <v>228</v>
      </c>
      <c r="C80" s="67"/>
      <c r="D80" s="244" t="s">
        <v>135</v>
      </c>
      <c r="E80" s="74" t="s">
        <v>225</v>
      </c>
      <c r="F80" s="9" t="s">
        <v>217</v>
      </c>
      <c r="G80" s="39" cm="1">
        <f t="array" ref="G80">_xlfn.XLOOKUP(1,('Cost Schedule'!$B$408:$B$425='Green Hydrogen'!E80)*('Cost Schedule'!$A$408:$A$425='Green Hydrogen'!F80),'Cost Schedule'!$C$408:$C$425)</f>
        <v>3962.8002317426135</v>
      </c>
      <c r="H80" s="72"/>
      <c r="I80" s="40">
        <f t="shared" si="10"/>
        <v>3962.8002317426135</v>
      </c>
      <c r="J80" s="244" t="s">
        <v>135</v>
      </c>
      <c r="K80" s="46">
        <f t="shared" si="11"/>
        <v>0</v>
      </c>
      <c r="L80" s="73"/>
    </row>
    <row r="81" spans="2:12" s="219" customFormat="1" ht="13">
      <c r="B81" s="38" t="s">
        <v>229</v>
      </c>
      <c r="C81" s="67"/>
      <c r="D81" s="244" t="s">
        <v>135</v>
      </c>
      <c r="E81" s="74" t="s">
        <v>230</v>
      </c>
      <c r="F81" s="9" t="s">
        <v>226</v>
      </c>
      <c r="G81" s="39" cm="1">
        <f t="array" ref="G81">_xlfn.XLOOKUP(1,('Cost Schedule'!$B$408:$B$425='Green Hydrogen'!E81)*('Cost Schedule'!$A$408:$A$425='Green Hydrogen'!F81),'Cost Schedule'!$C$408:$C$425)</f>
        <v>5354.8334104976739</v>
      </c>
      <c r="H81" s="72"/>
      <c r="I81" s="40">
        <f t="shared" si="10"/>
        <v>5354.8334104976739</v>
      </c>
      <c r="J81" s="244" t="s">
        <v>135</v>
      </c>
      <c r="K81" s="46">
        <f t="shared" si="11"/>
        <v>0</v>
      </c>
      <c r="L81" s="73"/>
    </row>
    <row r="82" spans="2:12" s="219" customFormat="1" ht="13">
      <c r="B82" s="38" t="s">
        <v>231</v>
      </c>
      <c r="C82" s="67"/>
      <c r="D82" s="244" t="s">
        <v>135</v>
      </c>
      <c r="E82" s="74" t="s">
        <v>230</v>
      </c>
      <c r="F82" s="9" t="s">
        <v>215</v>
      </c>
      <c r="G82" s="39" cm="1">
        <f t="array" ref="G82">_xlfn.XLOOKUP(1,('Cost Schedule'!$B$408:$B$425='Green Hydrogen'!E82)*('Cost Schedule'!$A$408:$A$425='Green Hydrogen'!F82),'Cost Schedule'!$C$408:$C$425)</f>
        <v>7211.600463485227</v>
      </c>
      <c r="H82" s="72"/>
      <c r="I82" s="40">
        <f t="shared" si="10"/>
        <v>7211.600463485227</v>
      </c>
      <c r="J82" s="244" t="s">
        <v>135</v>
      </c>
      <c r="K82" s="46">
        <f t="shared" si="11"/>
        <v>0</v>
      </c>
      <c r="L82" s="73"/>
    </row>
    <row r="83" spans="2:12" s="219" customFormat="1" ht="13">
      <c r="B83" s="38" t="s">
        <v>232</v>
      </c>
      <c r="C83" s="67"/>
      <c r="D83" s="244" t="s">
        <v>135</v>
      </c>
      <c r="E83" s="74" t="s">
        <v>230</v>
      </c>
      <c r="F83" s="9" t="s">
        <v>217</v>
      </c>
      <c r="G83" s="39" cm="1">
        <f t="array" ref="G83">_xlfn.XLOOKUP(1,('Cost Schedule'!$B$408:$B$425='Green Hydrogen'!E83)*('Cost Schedule'!$A$408:$A$425='Green Hydrogen'!F83),'Cost Schedule'!$C$408:$C$425)</f>
        <v>7925.600463485227</v>
      </c>
      <c r="H83" s="72"/>
      <c r="I83" s="40">
        <f t="shared" si="10"/>
        <v>7925.600463485227</v>
      </c>
      <c r="J83" s="244" t="s">
        <v>135</v>
      </c>
      <c r="K83" s="46">
        <f t="shared" si="11"/>
        <v>0</v>
      </c>
      <c r="L83" s="73"/>
    </row>
    <row r="84" spans="2:12" s="219" customFormat="1" ht="13">
      <c r="B84" s="38" t="s">
        <v>233</v>
      </c>
      <c r="C84" s="67"/>
      <c r="D84" s="244" t="s">
        <v>135</v>
      </c>
      <c r="E84" s="74" t="s">
        <v>219</v>
      </c>
      <c r="F84" s="9" t="s">
        <v>226</v>
      </c>
      <c r="G84" s="39" cm="1">
        <f t="array" ref="G84">_xlfn.XLOOKUP(1,('Cost Schedule'!$B$408:$B$425='Green Hydrogen'!E84)*('Cost Schedule'!$A$408:$A$425='Green Hydrogen'!F84),'Cost Schedule'!$C$408:$C$425)</f>
        <v>4263.6444557728655</v>
      </c>
      <c r="H84" s="72"/>
      <c r="I84" s="40">
        <f t="shared" si="10"/>
        <v>4263.6444557728655</v>
      </c>
      <c r="J84" s="244" t="s">
        <v>135</v>
      </c>
      <c r="K84" s="46">
        <f t="shared" si="11"/>
        <v>0</v>
      </c>
      <c r="L84" s="73"/>
    </row>
    <row r="85" spans="2:12" s="219" customFormat="1" ht="13">
      <c r="B85" s="38" t="s">
        <v>234</v>
      </c>
      <c r="C85" s="67"/>
      <c r="D85" s="244" t="s">
        <v>135</v>
      </c>
      <c r="E85" s="74" t="s">
        <v>219</v>
      </c>
      <c r="F85" s="9" t="s">
        <v>215</v>
      </c>
      <c r="G85" s="39" cm="1">
        <f t="array" ref="G85">_xlfn.XLOOKUP(1,('Cost Schedule'!$B$408:$B$425='Green Hydrogen'!E85)*('Cost Schedule'!$A$408:$A$425='Green Hydrogen'!F85),'Cost Schedule'!$C$408:$C$425)</f>
        <v>5192.0279822666425</v>
      </c>
      <c r="H85" s="72"/>
      <c r="I85" s="40">
        <f t="shared" si="10"/>
        <v>5192.0279822666425</v>
      </c>
      <c r="J85" s="244" t="s">
        <v>135</v>
      </c>
      <c r="K85" s="46">
        <f t="shared" si="11"/>
        <v>0</v>
      </c>
      <c r="L85" s="73"/>
    </row>
    <row r="86" spans="2:12" s="219" customFormat="1" ht="13">
      <c r="B86" s="38" t="s">
        <v>235</v>
      </c>
      <c r="C86" s="67"/>
      <c r="D86" s="244" t="s">
        <v>135</v>
      </c>
      <c r="E86" s="74" t="s">
        <v>219</v>
      </c>
      <c r="F86" s="9" t="s">
        <v>217</v>
      </c>
      <c r="G86" s="39" cm="1">
        <f t="array" ref="G86">_xlfn.XLOOKUP(1,('Cost Schedule'!$B$408:$B$425='Green Hydrogen'!E86)*('Cost Schedule'!$A$408:$A$425='Green Hydrogen'!F86),'Cost Schedule'!$C$408:$C$425)</f>
        <v>5549.0279822666425</v>
      </c>
      <c r="H86" s="72"/>
      <c r="I86" s="40">
        <f t="shared" si="10"/>
        <v>5549.0279822666425</v>
      </c>
      <c r="J86" s="244" t="s">
        <v>135</v>
      </c>
      <c r="K86" s="46">
        <f t="shared" si="11"/>
        <v>0</v>
      </c>
      <c r="L86" s="73"/>
    </row>
    <row r="87" spans="2:12" s="219" customFormat="1" ht="13">
      <c r="B87" s="38" t="s">
        <v>236</v>
      </c>
      <c r="C87" s="67"/>
      <c r="D87" s="244" t="s">
        <v>135</v>
      </c>
      <c r="E87" s="74" t="s">
        <v>237</v>
      </c>
      <c r="F87" s="9" t="s">
        <v>226</v>
      </c>
      <c r="G87" s="39" cm="1">
        <f t="array" ref="G87">_xlfn.XLOOKUP(1,('Cost Schedule'!$B$408:$B$425='Green Hydrogen'!E87)*('Cost Schedule'!$A$408:$A$425='Green Hydrogen'!F87),'Cost Schedule'!$C$408:$C$425)</f>
        <v>8527.288911545731</v>
      </c>
      <c r="H87" s="72"/>
      <c r="I87" s="40">
        <f t="shared" si="10"/>
        <v>8527.288911545731</v>
      </c>
      <c r="J87" s="244" t="s">
        <v>135</v>
      </c>
      <c r="K87" s="46">
        <f t="shared" si="11"/>
        <v>0</v>
      </c>
      <c r="L87" s="73"/>
    </row>
    <row r="88" spans="2:12" s="219" customFormat="1" ht="13">
      <c r="B88" s="38" t="s">
        <v>238</v>
      </c>
      <c r="C88" s="67"/>
      <c r="D88" s="244" t="s">
        <v>135</v>
      </c>
      <c r="E88" s="74" t="s">
        <v>237</v>
      </c>
      <c r="F88" s="9" t="s">
        <v>215</v>
      </c>
      <c r="G88" s="39" cm="1">
        <f t="array" ref="G88">_xlfn.XLOOKUP(1,('Cost Schedule'!$B$408:$B$425='Green Hydrogen'!E88)*('Cost Schedule'!$A$408:$A$425='Green Hydrogen'!F88),'Cost Schedule'!$C$408:$C$425)</f>
        <v>10384.055964533285</v>
      </c>
      <c r="H88" s="72"/>
      <c r="I88" s="40">
        <f t="shared" si="10"/>
        <v>10384.055964533285</v>
      </c>
      <c r="J88" s="244" t="s">
        <v>135</v>
      </c>
      <c r="K88" s="46">
        <f t="shared" si="11"/>
        <v>0</v>
      </c>
      <c r="L88" s="73"/>
    </row>
    <row r="89" spans="2:12" s="219" customFormat="1" ht="13">
      <c r="B89" s="38" t="s">
        <v>239</v>
      </c>
      <c r="C89" s="67"/>
      <c r="D89" s="244" t="s">
        <v>135</v>
      </c>
      <c r="E89" s="74" t="s">
        <v>237</v>
      </c>
      <c r="F89" s="9" t="s">
        <v>217</v>
      </c>
      <c r="G89" s="39" cm="1">
        <f t="array" ref="G89">_xlfn.XLOOKUP(1,('Cost Schedule'!$B$408:$B$425='Green Hydrogen'!E89)*('Cost Schedule'!$A$408:$A$425='Green Hydrogen'!F89),'Cost Schedule'!$C$408:$C$425)</f>
        <v>11098.055964533285</v>
      </c>
      <c r="H89" s="72"/>
      <c r="I89" s="40">
        <f t="shared" si="10"/>
        <v>11098.055964533285</v>
      </c>
      <c r="J89" s="244" t="s">
        <v>135</v>
      </c>
      <c r="K89" s="46">
        <f t="shared" si="11"/>
        <v>0</v>
      </c>
      <c r="L89" s="73"/>
    </row>
    <row r="90" spans="2:12" s="219" customFormat="1">
      <c r="C90" s="354"/>
      <c r="E90" s="244"/>
      <c r="F90" s="244"/>
      <c r="I90" s="355"/>
      <c r="L90" s="73"/>
    </row>
    <row r="91" spans="2:12" ht="13">
      <c r="B91" s="225" t="str">
        <f>B$23</f>
        <v>Totals</v>
      </c>
      <c r="C91" s="320">
        <f>SUM(C71:C90)</f>
        <v>0</v>
      </c>
      <c r="D91" s="244" t="s">
        <v>135</v>
      </c>
      <c r="H91" s="280" t="str">
        <f>CONCATENATE("Cost to ",B70)</f>
        <v>Cost to Decommission tracks and roads and rehabilitate</v>
      </c>
      <c r="I91" s="40">
        <f>IF(C91=0,0,K91/C91)</f>
        <v>0</v>
      </c>
      <c r="J91" s="271" t="s">
        <v>324</v>
      </c>
      <c r="K91" s="101">
        <f>SUM(K71:K90)</f>
        <v>0</v>
      </c>
      <c r="L91" s="73"/>
    </row>
    <row r="92" spans="2:12">
      <c r="C92" s="289"/>
      <c r="L92" s="73"/>
    </row>
    <row r="93" spans="2:12" ht="13">
      <c r="B93" s="222" t="s">
        <v>607</v>
      </c>
      <c r="C93" s="222"/>
      <c r="D93" s="222"/>
      <c r="E93" s="222"/>
      <c r="F93" s="222"/>
      <c r="G93" s="222"/>
      <c r="H93" s="222"/>
      <c r="I93" s="222"/>
      <c r="J93" s="222"/>
      <c r="K93" s="222"/>
      <c r="L93" s="222"/>
    </row>
    <row r="94" spans="2:12" ht="22.5" customHeight="1">
      <c r="B94" s="266" t="s">
        <v>141</v>
      </c>
      <c r="C94" s="267" t="s">
        <v>142</v>
      </c>
      <c r="D94" s="267" t="s">
        <v>82</v>
      </c>
      <c r="E94" s="269" t="s">
        <v>152</v>
      </c>
      <c r="F94" s="269"/>
      <c r="G94" s="268" t="s">
        <v>81</v>
      </c>
      <c r="H94" s="268" t="s">
        <v>143</v>
      </c>
      <c r="I94" s="268" t="s">
        <v>144</v>
      </c>
      <c r="J94" s="268" t="s">
        <v>145</v>
      </c>
      <c r="K94" s="268" t="s">
        <v>146</v>
      </c>
      <c r="L94" s="73"/>
    </row>
    <row r="95" spans="2:12" ht="13">
      <c r="B95" s="38" t="s">
        <v>243</v>
      </c>
      <c r="C95" s="67"/>
      <c r="D95" s="244" t="s">
        <v>135</v>
      </c>
      <c r="E95" s="74" t="s">
        <v>244</v>
      </c>
      <c r="F95" s="9" t="s">
        <v>217</v>
      </c>
      <c r="G95" s="39" cm="1">
        <f t="array" ref="G95">_xlfn.XLOOKUP(1,('Cost Schedule'!$B$222:$B$230='Green Hydrogen'!E95)*('Cost Schedule'!$A$222:$A$230='Green Hydrogen'!F95),'Cost Schedule'!$C$222:$C$230)</f>
        <v>5985.8030455049229</v>
      </c>
      <c r="H95" s="72"/>
      <c r="I95" s="40">
        <f t="shared" ref="I95:I103" si="12">IF(H95="",G95,H95)</f>
        <v>5985.8030455049229</v>
      </c>
      <c r="J95" s="244" t="s">
        <v>135</v>
      </c>
      <c r="K95" s="46">
        <f t="shared" ref="K95" si="13">I95*C95</f>
        <v>0</v>
      </c>
      <c r="L95" s="73"/>
    </row>
    <row r="96" spans="2:12" s="219" customFormat="1" ht="13">
      <c r="B96" s="38" t="s">
        <v>245</v>
      </c>
      <c r="C96" s="67"/>
      <c r="D96" s="244" t="s">
        <v>135</v>
      </c>
      <c r="E96" s="74" t="s">
        <v>246</v>
      </c>
      <c r="F96" s="9" t="s">
        <v>217</v>
      </c>
      <c r="G96" s="39" cm="1">
        <f t="array" ref="G96">_xlfn.XLOOKUP(1,('Cost Schedule'!$B$222:$B$230='Green Hydrogen'!E96)*('Cost Schedule'!$A$222:$A$230='Green Hydrogen'!F96),'Cost Schedule'!$C$222:$C$230)</f>
        <v>21848.080550745202</v>
      </c>
      <c r="H96" s="72"/>
      <c r="I96" s="40">
        <f t="shared" si="12"/>
        <v>21848.080550745202</v>
      </c>
      <c r="J96" s="244" t="s">
        <v>135</v>
      </c>
      <c r="K96" s="46">
        <f>I96*C96</f>
        <v>0</v>
      </c>
      <c r="L96" s="73"/>
    </row>
    <row r="97" spans="2:12" s="219" customFormat="1" ht="13">
      <c r="B97" s="38" t="s">
        <v>247</v>
      </c>
      <c r="C97" s="67"/>
      <c r="D97" s="244" t="s">
        <v>135</v>
      </c>
      <c r="E97" s="74" t="s">
        <v>248</v>
      </c>
      <c r="F97" s="9" t="s">
        <v>217</v>
      </c>
      <c r="G97" s="39" cm="1">
        <f t="array" ref="G97">_xlfn.XLOOKUP(1,('Cost Schedule'!$B$222:$B$230='Green Hydrogen'!E97)*('Cost Schedule'!$A$222:$A$230='Green Hydrogen'!F97),'Cost Schedule'!$C$222:$C$230)</f>
        <v>64965.977915551659</v>
      </c>
      <c r="H97" s="72"/>
      <c r="I97" s="40">
        <f t="shared" si="12"/>
        <v>64965.977915551659</v>
      </c>
      <c r="J97" s="244" t="s">
        <v>135</v>
      </c>
      <c r="K97" s="46">
        <f t="shared" ref="K97:K103" si="14">I97*C97</f>
        <v>0</v>
      </c>
      <c r="L97" s="73"/>
    </row>
    <row r="98" spans="2:12" s="219" customFormat="1" ht="13">
      <c r="B98" s="38" t="s">
        <v>249</v>
      </c>
      <c r="C98" s="67"/>
      <c r="D98" s="244" t="s">
        <v>135</v>
      </c>
      <c r="E98" s="74" t="s">
        <v>244</v>
      </c>
      <c r="F98" s="9" t="s">
        <v>217</v>
      </c>
      <c r="G98" s="39" cm="1">
        <f t="array" ref="G98">_xlfn.XLOOKUP(1,('Cost Schedule'!$B$222:$B$230='Green Hydrogen'!E98)*('Cost Schedule'!$A$222:$A$230='Green Hydrogen'!F98),'Cost Schedule'!$C$222:$C$230)</f>
        <v>5985.8030455049229</v>
      </c>
      <c r="H98" s="72"/>
      <c r="I98" s="40">
        <f t="shared" si="12"/>
        <v>5985.8030455049229</v>
      </c>
      <c r="J98" s="244" t="s">
        <v>135</v>
      </c>
      <c r="K98" s="46">
        <f t="shared" si="14"/>
        <v>0</v>
      </c>
      <c r="L98" s="73"/>
    </row>
    <row r="99" spans="2:12" s="219" customFormat="1" ht="13">
      <c r="B99" s="38" t="s">
        <v>250</v>
      </c>
      <c r="C99" s="67"/>
      <c r="D99" s="244" t="s">
        <v>135</v>
      </c>
      <c r="E99" s="74" t="s">
        <v>244</v>
      </c>
      <c r="F99" s="9" t="s">
        <v>217</v>
      </c>
      <c r="G99" s="39" cm="1">
        <f t="array" ref="G99">_xlfn.XLOOKUP(1,('Cost Schedule'!$B$222:$B$230='Green Hydrogen'!E99)*('Cost Schedule'!$A$222:$A$230='Green Hydrogen'!F99),'Cost Schedule'!$C$222:$C$230)</f>
        <v>5985.8030455049229</v>
      </c>
      <c r="H99" s="72"/>
      <c r="I99" s="40">
        <f t="shared" si="12"/>
        <v>5985.8030455049229</v>
      </c>
      <c r="J99" s="244" t="s">
        <v>135</v>
      </c>
      <c r="K99" s="46">
        <f t="shared" si="14"/>
        <v>0</v>
      </c>
      <c r="L99" s="73"/>
    </row>
    <row r="100" spans="2:12" s="219" customFormat="1" ht="13">
      <c r="B100" s="38" t="s">
        <v>251</v>
      </c>
      <c r="C100" s="67"/>
      <c r="D100" s="244" t="s">
        <v>135</v>
      </c>
      <c r="E100" s="74" t="s">
        <v>244</v>
      </c>
      <c r="F100" s="9" t="s">
        <v>217</v>
      </c>
      <c r="G100" s="39" cm="1">
        <f t="array" ref="G100">_xlfn.XLOOKUP(1,('Cost Schedule'!$B$222:$B$230='Green Hydrogen'!E100)*('Cost Schedule'!$A$222:$A$230='Green Hydrogen'!F100),'Cost Schedule'!$C$222:$C$230)</f>
        <v>5985.8030455049229</v>
      </c>
      <c r="H100" s="72"/>
      <c r="I100" s="40">
        <f t="shared" si="12"/>
        <v>5985.8030455049229</v>
      </c>
      <c r="J100" s="244" t="s">
        <v>135</v>
      </c>
      <c r="K100" s="46">
        <f t="shared" si="14"/>
        <v>0</v>
      </c>
      <c r="L100" s="73"/>
    </row>
    <row r="101" spans="2:12" s="219" customFormat="1" ht="13">
      <c r="B101" s="38" t="s">
        <v>252</v>
      </c>
      <c r="C101" s="67"/>
      <c r="D101" s="244" t="s">
        <v>135</v>
      </c>
      <c r="E101" s="74" t="s">
        <v>244</v>
      </c>
      <c r="F101" s="9" t="s">
        <v>217</v>
      </c>
      <c r="G101" s="39" cm="1">
        <f t="array" ref="G101">_xlfn.XLOOKUP(1,('Cost Schedule'!$B$222:$B$230='Green Hydrogen'!E101)*('Cost Schedule'!$A$222:$A$230='Green Hydrogen'!F101),'Cost Schedule'!$C$222:$C$230)</f>
        <v>5985.8030455049229</v>
      </c>
      <c r="H101" s="72"/>
      <c r="I101" s="40">
        <f t="shared" si="12"/>
        <v>5985.8030455049229</v>
      </c>
      <c r="J101" s="244" t="s">
        <v>135</v>
      </c>
      <c r="K101" s="46">
        <f t="shared" si="14"/>
        <v>0</v>
      </c>
      <c r="L101" s="73"/>
    </row>
    <row r="102" spans="2:12" s="219" customFormat="1" ht="13">
      <c r="B102" s="38" t="s">
        <v>253</v>
      </c>
      <c r="C102" s="67"/>
      <c r="D102" s="244" t="s">
        <v>135</v>
      </c>
      <c r="E102" s="74" t="s">
        <v>244</v>
      </c>
      <c r="F102" s="9" t="s">
        <v>217</v>
      </c>
      <c r="G102" s="39" cm="1">
        <f t="array" ref="G102">_xlfn.XLOOKUP(1,('Cost Schedule'!$B$222:$B$230='Green Hydrogen'!E102)*('Cost Schedule'!$A$222:$A$230='Green Hydrogen'!F102),'Cost Schedule'!$C$222:$C$230)</f>
        <v>5985.8030455049229</v>
      </c>
      <c r="H102" s="72"/>
      <c r="I102" s="40">
        <f t="shared" si="12"/>
        <v>5985.8030455049229</v>
      </c>
      <c r="J102" s="244" t="s">
        <v>135</v>
      </c>
      <c r="K102" s="46">
        <f t="shared" si="14"/>
        <v>0</v>
      </c>
      <c r="L102" s="73"/>
    </row>
    <row r="103" spans="2:12" s="219" customFormat="1" ht="13">
      <c r="B103" s="38" t="s">
        <v>254</v>
      </c>
      <c r="C103" s="67"/>
      <c r="D103" s="244" t="s">
        <v>135</v>
      </c>
      <c r="E103" s="74" t="s">
        <v>244</v>
      </c>
      <c r="F103" s="9" t="s">
        <v>217</v>
      </c>
      <c r="G103" s="39" cm="1">
        <f t="array" ref="G103">_xlfn.XLOOKUP(1,('Cost Schedule'!$B$222:$B$230='Green Hydrogen'!E103)*('Cost Schedule'!$A$222:$A$230='Green Hydrogen'!F103),'Cost Schedule'!$C$222:$C$230)</f>
        <v>5985.8030455049229</v>
      </c>
      <c r="H103" s="72"/>
      <c r="I103" s="40">
        <f t="shared" si="12"/>
        <v>5985.8030455049229</v>
      </c>
      <c r="J103" s="244" t="s">
        <v>135</v>
      </c>
      <c r="K103" s="46">
        <f t="shared" si="14"/>
        <v>0</v>
      </c>
      <c r="L103" s="73"/>
    </row>
    <row r="104" spans="2:12" s="219" customFormat="1">
      <c r="C104" s="354"/>
      <c r="E104" s="244"/>
      <c r="F104" s="244"/>
      <c r="I104" s="355"/>
      <c r="L104" s="70"/>
    </row>
    <row r="105" spans="2:12" ht="13">
      <c r="B105" s="225" t="str">
        <f>B$23</f>
        <v>Totals</v>
      </c>
      <c r="C105" s="320">
        <f>SUM(C94:C104)</f>
        <v>0</v>
      </c>
      <c r="D105" s="244" t="s">
        <v>135</v>
      </c>
      <c r="H105" s="280" t="str">
        <f>CONCATENATE("Cost to ",B93)</f>
        <v>Cost to Decommission laydown areas and rehabilitate</v>
      </c>
      <c r="I105" s="40">
        <f>IF(C105=0,0,K105/C105)</f>
        <v>0</v>
      </c>
      <c r="J105" s="271" t="s">
        <v>324</v>
      </c>
      <c r="K105" s="101">
        <f>SUM(K94:K104)</f>
        <v>0</v>
      </c>
      <c r="L105" s="73"/>
    </row>
    <row r="106" spans="2:12">
      <c r="L106" s="70"/>
    </row>
    <row r="107" spans="2:12" ht="13">
      <c r="B107" s="222" t="s">
        <v>608</v>
      </c>
      <c r="C107" s="222"/>
      <c r="D107" s="222"/>
      <c r="E107" s="222"/>
      <c r="F107" s="222"/>
      <c r="G107" s="222"/>
      <c r="H107" s="222"/>
      <c r="I107" s="222"/>
      <c r="J107" s="222"/>
      <c r="K107" s="222"/>
      <c r="L107" s="222"/>
    </row>
    <row r="108" spans="2:12" ht="22.5" customHeight="1">
      <c r="B108" s="266" t="s">
        <v>141</v>
      </c>
      <c r="C108" s="267" t="s">
        <v>142</v>
      </c>
      <c r="D108" s="267" t="s">
        <v>82</v>
      </c>
      <c r="E108" s="269" t="s">
        <v>152</v>
      </c>
      <c r="F108" s="269"/>
      <c r="G108" s="268" t="s">
        <v>81</v>
      </c>
      <c r="H108" s="268" t="s">
        <v>143</v>
      </c>
      <c r="I108" s="268" t="s">
        <v>144</v>
      </c>
      <c r="J108" s="268" t="s">
        <v>145</v>
      </c>
      <c r="K108" s="268" t="s">
        <v>146</v>
      </c>
      <c r="L108" s="70"/>
    </row>
    <row r="109" spans="2:12" ht="13">
      <c r="B109" s="38" t="s">
        <v>257</v>
      </c>
      <c r="C109" s="67"/>
      <c r="D109" s="244" t="s">
        <v>135</v>
      </c>
      <c r="E109" s="74" t="s">
        <v>258</v>
      </c>
      <c r="F109" s="9" t="s">
        <v>226</v>
      </c>
      <c r="G109" s="39" cm="1">
        <f t="array" ref="G109">_xlfn.XLOOKUP(1,('Cost Schedule'!$B$6:$B$14='Green Hydrogen'!E109)*('Cost Schedule'!$A$6:$A$14='Green Hydrogen'!F109),'Cost Schedule'!$C$6:$C$14)</f>
        <v>17563.468795765948</v>
      </c>
      <c r="H109" s="72"/>
      <c r="I109" s="40">
        <f>IF(H109="",G109,H109)</f>
        <v>17563.468795765948</v>
      </c>
      <c r="J109" s="244" t="s">
        <v>135</v>
      </c>
      <c r="K109" s="46">
        <f>I109*C109</f>
        <v>0</v>
      </c>
      <c r="L109" s="73"/>
    </row>
    <row r="110" spans="2:12" s="219" customFormat="1" ht="13">
      <c r="B110" s="38" t="s">
        <v>259</v>
      </c>
      <c r="C110" s="67"/>
      <c r="D110" s="244" t="s">
        <v>135</v>
      </c>
      <c r="E110" s="74" t="s">
        <v>260</v>
      </c>
      <c r="F110" s="9" t="s">
        <v>217</v>
      </c>
      <c r="G110" s="39" cm="1">
        <f t="array" ref="G110">_xlfn.XLOOKUP(1,('Cost Schedule'!$B$6:$B$14='Green Hydrogen'!E110)*('Cost Schedule'!$A$6:$A$14='Green Hydrogen'!F110),'Cost Schedule'!$C$6:$C$14)</f>
        <v>14555.026555463435</v>
      </c>
      <c r="H110" s="72"/>
      <c r="I110" s="40">
        <f>IF(H110="",G110,H110)</f>
        <v>14555.026555463435</v>
      </c>
      <c r="J110" s="244" t="s">
        <v>135</v>
      </c>
      <c r="K110" s="46">
        <f>I110*C110</f>
        <v>0</v>
      </c>
      <c r="L110" s="73"/>
    </row>
    <row r="111" spans="2:12" s="219" customFormat="1">
      <c r="C111" s="354"/>
      <c r="E111" s="244"/>
      <c r="F111" s="244"/>
      <c r="I111" s="355"/>
      <c r="L111" s="70"/>
    </row>
    <row r="112" spans="2:12" ht="13">
      <c r="B112" s="225" t="str">
        <f>B$23</f>
        <v>Totals</v>
      </c>
      <c r="C112" s="320">
        <f>SUM(C108:C111)</f>
        <v>0</v>
      </c>
      <c r="D112" s="244" t="s">
        <v>135</v>
      </c>
      <c r="H112" s="280" t="str">
        <f>CONCATENATE("Cost to ",B107)</f>
        <v>Cost to Decommission airstrips and rehabilitate</v>
      </c>
      <c r="I112" s="40">
        <f>IF(C112=0,0,K112/C112)</f>
        <v>0</v>
      </c>
      <c r="J112" s="271" t="s">
        <v>324</v>
      </c>
      <c r="K112" s="101">
        <f>SUM(K108:K111)</f>
        <v>0</v>
      </c>
      <c r="L112" s="73"/>
    </row>
    <row r="113" spans="2:12">
      <c r="C113" s="346"/>
      <c r="L113" s="70"/>
    </row>
    <row r="114" spans="2:12" ht="13">
      <c r="B114" s="222" t="s">
        <v>609</v>
      </c>
      <c r="C114" s="222"/>
      <c r="D114" s="222"/>
      <c r="E114" s="222"/>
      <c r="F114" s="222"/>
      <c r="G114" s="222"/>
      <c r="H114" s="222"/>
      <c r="I114" s="222"/>
      <c r="J114" s="222"/>
      <c r="K114" s="222"/>
      <c r="L114" s="222"/>
    </row>
    <row r="115" spans="2:12" ht="22.5" customHeight="1">
      <c r="B115" s="266" t="s">
        <v>141</v>
      </c>
      <c r="C115" s="267" t="s">
        <v>142</v>
      </c>
      <c r="D115" s="267" t="s">
        <v>82</v>
      </c>
      <c r="E115" s="269" t="s">
        <v>152</v>
      </c>
      <c r="F115" s="269"/>
      <c r="G115" s="268" t="s">
        <v>81</v>
      </c>
      <c r="H115" s="268" t="s">
        <v>143</v>
      </c>
      <c r="I115" s="268" t="s">
        <v>144</v>
      </c>
      <c r="J115" s="268" t="s">
        <v>145</v>
      </c>
      <c r="K115" s="268" t="s">
        <v>146</v>
      </c>
      <c r="L115" s="92" t="s">
        <v>263</v>
      </c>
    </row>
    <row r="116" spans="2:12" ht="15" customHeight="1">
      <c r="B116" s="38" t="s">
        <v>264</v>
      </c>
      <c r="C116" s="67"/>
      <c r="D116" s="263" t="str">
        <f>_xlfn.XLOOKUP($E116,'Cost Schedule'!$B$30:$B$34,'Cost Schedule'!$D$30:$D$34)</f>
        <v>m2</v>
      </c>
      <c r="E116" s="74" t="s">
        <v>265</v>
      </c>
      <c r="F116" s="276"/>
      <c r="G116" s="39">
        <f>_xlfn.XLOOKUP($E116,'Cost Schedule'!$B$30:$B$34,'Cost Schedule'!$C$30:$C$34)</f>
        <v>130.34119174820927</v>
      </c>
      <c r="H116" s="72"/>
      <c r="I116" s="40">
        <f>IF(H116="",G116,H116)</f>
        <v>130.34119174820927</v>
      </c>
      <c r="J116" s="263" t="str">
        <f>D116</f>
        <v>m2</v>
      </c>
      <c r="K116" s="46">
        <f>I116*C116</f>
        <v>0</v>
      </c>
      <c r="L116" s="73"/>
    </row>
    <row r="117" spans="2:12" s="219" customFormat="1" ht="15" customHeight="1">
      <c r="B117" s="38" t="s">
        <v>266</v>
      </c>
      <c r="C117" s="67"/>
      <c r="D117" s="263" t="str">
        <f>_xlfn.XLOOKUP($E117,'Cost Schedule'!$B$30:$B$34,'Cost Schedule'!$D$30:$D$34)</f>
        <v>m2</v>
      </c>
      <c r="E117" s="74" t="s">
        <v>267</v>
      </c>
      <c r="F117" s="276"/>
      <c r="G117" s="39">
        <f>_xlfn.XLOOKUP($E117,'Cost Schedule'!$B$30:$B$34,'Cost Schedule'!$C$30:$C$34)</f>
        <v>65.831315749844336</v>
      </c>
      <c r="H117" s="72"/>
      <c r="I117" s="40">
        <f>IF(H117="",G117,H117)</f>
        <v>65.831315749844336</v>
      </c>
      <c r="J117" s="263" t="str">
        <f t="shared" ref="J117:J120" si="15">D117</f>
        <v>m2</v>
      </c>
      <c r="K117" s="46">
        <f>I117*C117</f>
        <v>0</v>
      </c>
      <c r="L117" s="70"/>
    </row>
    <row r="118" spans="2:12" s="219" customFormat="1" ht="15" customHeight="1">
      <c r="B118" s="38" t="s">
        <v>268</v>
      </c>
      <c r="C118" s="67"/>
      <c r="D118" s="263" t="str">
        <f>_xlfn.XLOOKUP($E118,'Cost Schedule'!$B$30:$B$34,'Cost Schedule'!$D$30:$D$34)</f>
        <v>m2</v>
      </c>
      <c r="E118" s="74" t="s">
        <v>269</v>
      </c>
      <c r="F118" s="276"/>
      <c r="G118" s="39">
        <f>_xlfn.XLOOKUP($E118,'Cost Schedule'!$B$30:$B$34,'Cost Schedule'!$C$30:$C$34)</f>
        <v>57.775533127992965</v>
      </c>
      <c r="H118" s="72"/>
      <c r="I118" s="40">
        <f>IF(H118="",G118,H118)</f>
        <v>57.775533127992965</v>
      </c>
      <c r="J118" s="263" t="str">
        <f t="shared" si="15"/>
        <v>m2</v>
      </c>
      <c r="K118" s="46">
        <f>I118*C118</f>
        <v>0</v>
      </c>
      <c r="L118" s="73"/>
    </row>
    <row r="119" spans="2:12" s="219" customFormat="1" ht="15" customHeight="1">
      <c r="B119" s="38" t="s">
        <v>270</v>
      </c>
      <c r="C119" s="67"/>
      <c r="D119" s="263" t="str">
        <f>_xlfn.XLOOKUP($E119,'Cost Schedule'!$B$30:$B$34,'Cost Schedule'!$D$30:$D$34)</f>
        <v>m2</v>
      </c>
      <c r="E119" s="74" t="s">
        <v>271</v>
      </c>
      <c r="F119" s="276"/>
      <c r="G119" s="39">
        <f>_xlfn.XLOOKUP($E119,'Cost Schedule'!$B$30:$B$34,'Cost Schedule'!$C$30:$C$34)</f>
        <v>182.24173485583563</v>
      </c>
      <c r="H119" s="72"/>
      <c r="I119" s="40">
        <f>IF(H119="",G119,H119)</f>
        <v>182.24173485583563</v>
      </c>
      <c r="J119" s="263" t="str">
        <f t="shared" si="15"/>
        <v>m2</v>
      </c>
      <c r="K119" s="46">
        <f>I119*C119</f>
        <v>0</v>
      </c>
      <c r="L119" s="70"/>
    </row>
    <row r="120" spans="2:12" s="219" customFormat="1" ht="15" customHeight="1">
      <c r="B120" s="38" t="s">
        <v>272</v>
      </c>
      <c r="C120" s="67"/>
      <c r="D120" s="263" t="str">
        <f>_xlfn.XLOOKUP($E120,'Cost Schedule'!$B$30:$B$34,'Cost Schedule'!$D$30:$D$34)</f>
        <v>m2-floor</v>
      </c>
      <c r="E120" s="74" t="s">
        <v>273</v>
      </c>
      <c r="F120" s="276"/>
      <c r="G120" s="39">
        <f>_xlfn.XLOOKUP($E120,'Cost Schedule'!$B$30:$B$34,'Cost Schedule'!$C$30:$C$34)</f>
        <v>57.05767457349878</v>
      </c>
      <c r="H120" s="72"/>
      <c r="I120" s="40">
        <f>IF(H120="",G120,H120)</f>
        <v>57.05767457349878</v>
      </c>
      <c r="J120" s="263" t="str">
        <f t="shared" si="15"/>
        <v>m2-floor</v>
      </c>
      <c r="K120" s="46">
        <f>I120*C120</f>
        <v>0</v>
      </c>
      <c r="L120" s="73"/>
    </row>
    <row r="121" spans="2:12" s="219" customFormat="1" ht="13">
      <c r="C121" s="354"/>
      <c r="F121" s="269"/>
      <c r="L121" s="70"/>
    </row>
    <row r="122" spans="2:12" ht="13">
      <c r="B122" s="225" t="str">
        <f>B$23</f>
        <v>Totals</v>
      </c>
      <c r="C122" s="320">
        <f>SUM(C115:C121)</f>
        <v>0</v>
      </c>
      <c r="D122" s="244" t="s">
        <v>274</v>
      </c>
      <c r="H122" s="280" t="str">
        <f>CONCATENATE("Cost to ",B114)</f>
        <v>Cost to Demolish / remove buildings (by area)</v>
      </c>
      <c r="I122" s="40">
        <f>IF(C122=0,0,K122/C122)</f>
        <v>0</v>
      </c>
      <c r="J122" s="271" t="s">
        <v>504</v>
      </c>
      <c r="K122" s="101">
        <f>SUM(K115:K121)</f>
        <v>0</v>
      </c>
      <c r="L122" s="73"/>
    </row>
    <row r="123" spans="2:12">
      <c r="L123" s="70"/>
    </row>
    <row r="124" spans="2:12" ht="13">
      <c r="B124" s="222" t="s">
        <v>610</v>
      </c>
      <c r="C124" s="222"/>
      <c r="D124" s="222"/>
      <c r="E124" s="222"/>
      <c r="F124" s="222"/>
      <c r="G124" s="222"/>
      <c r="H124" s="222"/>
      <c r="I124" s="222"/>
      <c r="J124" s="222"/>
      <c r="K124" s="222"/>
      <c r="L124" s="222"/>
    </row>
    <row r="125" spans="2:12" ht="21" customHeight="1">
      <c r="B125" s="266" t="s">
        <v>141</v>
      </c>
      <c r="C125" s="267" t="s">
        <v>142</v>
      </c>
      <c r="D125" s="267" t="s">
        <v>82</v>
      </c>
      <c r="E125" s="269" t="s">
        <v>152</v>
      </c>
      <c r="F125" s="269"/>
      <c r="G125" s="268" t="s">
        <v>81</v>
      </c>
      <c r="H125" s="268" t="s">
        <v>143</v>
      </c>
      <c r="I125" s="268" t="s">
        <v>144</v>
      </c>
      <c r="J125" s="268" t="s">
        <v>145</v>
      </c>
      <c r="K125" s="268" t="s">
        <v>146</v>
      </c>
      <c r="L125" s="70"/>
    </row>
    <row r="126" spans="2:12" ht="14.25" customHeight="1">
      <c r="B126" s="38" t="s">
        <v>278</v>
      </c>
      <c r="C126" s="69"/>
      <c r="D126" s="263" t="str">
        <f>_xlfn.XLOOKUP($E126,'Cost Schedule'!$B$37:$B$40,'Cost Schedule'!$D$37:$D$40)</f>
        <v>building</v>
      </c>
      <c r="E126" s="78" t="s">
        <v>279</v>
      </c>
      <c r="F126" s="276"/>
      <c r="G126" s="39">
        <f>_xlfn.XLOOKUP(E126,'Cost Schedule'!$B$37:$B$40,'Cost Schedule'!$C$37:$C$40)</f>
        <v>1883.512891943768</v>
      </c>
      <c r="H126" s="72"/>
      <c r="I126" s="40">
        <f>IF(H126="",G126,H126)</f>
        <v>1883.512891943768</v>
      </c>
      <c r="J126" s="263" t="str">
        <f>D126</f>
        <v>building</v>
      </c>
      <c r="K126" s="46">
        <f>I126*C126</f>
        <v>0</v>
      </c>
      <c r="L126" s="73"/>
    </row>
    <row r="127" spans="2:12" s="219" customFormat="1" ht="14.25" customHeight="1">
      <c r="B127" s="38" t="s">
        <v>280</v>
      </c>
      <c r="C127" s="69"/>
      <c r="D127" s="263" t="str">
        <f>_xlfn.XLOOKUP($E127,'Cost Schedule'!$B$37:$B$40,'Cost Schedule'!$D$37:$D$40)</f>
        <v>building</v>
      </c>
      <c r="E127" s="78" t="s">
        <v>281</v>
      </c>
      <c r="F127" s="276"/>
      <c r="G127" s="39">
        <f>_xlfn.XLOOKUP(E127,'Cost Schedule'!$B$37:$B$40,'Cost Schedule'!$C$37:$C$40)</f>
        <v>1243.9588072170536</v>
      </c>
      <c r="H127" s="72"/>
      <c r="I127" s="40">
        <f>IF(H127="",G127,H127)</f>
        <v>1243.9588072170536</v>
      </c>
      <c r="J127" s="263" t="str">
        <f t="shared" ref="J127:J130" si="16">D127</f>
        <v>building</v>
      </c>
      <c r="K127" s="46">
        <f>I127*C127</f>
        <v>0</v>
      </c>
      <c r="L127" s="70"/>
    </row>
    <row r="128" spans="2:12" s="219" customFormat="1" ht="14.25" customHeight="1">
      <c r="B128" s="38" t="s">
        <v>282</v>
      </c>
      <c r="C128" s="69"/>
      <c r="D128" s="263" t="str">
        <f>_xlfn.XLOOKUP($E128,'Cost Schedule'!$B$37:$B$40,'Cost Schedule'!$D$37:$D$40)</f>
        <v>building</v>
      </c>
      <c r="E128" s="78" t="s">
        <v>283</v>
      </c>
      <c r="F128" s="276"/>
      <c r="G128" s="39">
        <f>_xlfn.XLOOKUP(E128,'Cost Schedule'!$B$37:$B$40,'Cost Schedule'!$C$37:$C$40)</f>
        <v>10251.77359535745</v>
      </c>
      <c r="H128" s="72"/>
      <c r="I128" s="40">
        <f>IF(H128="",G128,H128)</f>
        <v>10251.77359535745</v>
      </c>
      <c r="J128" s="263" t="str">
        <f t="shared" si="16"/>
        <v>building</v>
      </c>
      <c r="K128" s="46">
        <f>I128*C128</f>
        <v>0</v>
      </c>
      <c r="L128" s="73"/>
    </row>
    <row r="129" spans="2:12" s="219" customFormat="1" ht="14.25" customHeight="1">
      <c r="B129" s="38" t="s">
        <v>284</v>
      </c>
      <c r="C129" s="69"/>
      <c r="D129" s="263" t="str">
        <f>_xlfn.XLOOKUP($E129,'Cost Schedule'!$B$37:$B$40,'Cost Schedule'!$D$37:$D$40)</f>
        <v>building</v>
      </c>
      <c r="E129" s="78" t="s">
        <v>285</v>
      </c>
      <c r="F129" s="276"/>
      <c r="G129" s="39">
        <f>_xlfn.XLOOKUP(E129,'Cost Schedule'!$B$37:$B$40,'Cost Schedule'!$C$37:$C$40)</f>
        <v>7015.0882772529176</v>
      </c>
      <c r="H129" s="72"/>
      <c r="I129" s="40">
        <f>IF(H129="",G129,H129)</f>
        <v>7015.0882772529176</v>
      </c>
      <c r="J129" s="263" t="str">
        <f t="shared" si="16"/>
        <v>building</v>
      </c>
      <c r="K129" s="46">
        <f>I129*C129</f>
        <v>0</v>
      </c>
      <c r="L129" s="70"/>
    </row>
    <row r="130" spans="2:12" s="219" customFormat="1" ht="14.25" customHeight="1">
      <c r="B130" s="38" t="s">
        <v>286</v>
      </c>
      <c r="C130" s="69"/>
      <c r="D130" s="263" t="str">
        <f>_xlfn.XLOOKUP($E130,'Cost Schedule'!$B$37:$B$40,'Cost Schedule'!$D$37:$D$40)</f>
        <v>building</v>
      </c>
      <c r="E130" s="78" t="s">
        <v>279</v>
      </c>
      <c r="F130" s="276"/>
      <c r="G130" s="39">
        <f>_xlfn.XLOOKUP(E130,'Cost Schedule'!$B$37:$B$40,'Cost Schedule'!$C$37:$C$40)</f>
        <v>1883.512891943768</v>
      </c>
      <c r="H130" s="72"/>
      <c r="I130" s="40">
        <f>IF(H130="",G130,H130)</f>
        <v>1883.512891943768</v>
      </c>
      <c r="J130" s="263" t="str">
        <f t="shared" si="16"/>
        <v>building</v>
      </c>
      <c r="K130" s="46">
        <f>I130*C130</f>
        <v>0</v>
      </c>
      <c r="L130" s="73"/>
    </row>
    <row r="131" spans="2:12" s="219" customFormat="1" ht="13">
      <c r="C131" s="351"/>
      <c r="F131" s="269"/>
      <c r="L131" s="70"/>
    </row>
    <row r="132" spans="2:12" ht="13">
      <c r="B132" s="225" t="str">
        <f>B$23</f>
        <v>Totals</v>
      </c>
      <c r="C132" s="342">
        <f>SUM(C125:C131)</f>
        <v>0</v>
      </c>
      <c r="D132" s="244" t="s">
        <v>287</v>
      </c>
      <c r="H132" s="280" t="str">
        <f>CONCATENATE("Cost to ",B124)</f>
        <v>Cost to Demolish / remove buildings (by number)</v>
      </c>
      <c r="I132" s="40">
        <f>IF(C132=0,0,K132/C132)</f>
        <v>0</v>
      </c>
      <c r="J132" s="271" t="s">
        <v>288</v>
      </c>
      <c r="K132" s="101">
        <f>SUM(K125:K131)</f>
        <v>0</v>
      </c>
      <c r="L132" s="73"/>
    </row>
    <row r="133" spans="2:12">
      <c r="L133" s="70"/>
    </row>
    <row r="134" spans="2:12" ht="13">
      <c r="B134" s="222" t="s">
        <v>611</v>
      </c>
      <c r="C134" s="222"/>
      <c r="D134" s="222"/>
      <c r="E134" s="222"/>
      <c r="F134" s="222"/>
      <c r="G134" s="222"/>
      <c r="H134" s="222"/>
      <c r="I134" s="222"/>
      <c r="J134" s="222"/>
      <c r="K134" s="222"/>
      <c r="L134" s="222"/>
    </row>
    <row r="135" spans="2:12" ht="24" customHeight="1">
      <c r="B135" s="266" t="s">
        <v>141</v>
      </c>
      <c r="C135" s="267" t="s">
        <v>142</v>
      </c>
      <c r="D135" s="267" t="s">
        <v>82</v>
      </c>
      <c r="E135" s="269" t="s">
        <v>152</v>
      </c>
      <c r="F135" s="269"/>
      <c r="G135" s="268" t="s">
        <v>81</v>
      </c>
      <c r="H135" s="268" t="s">
        <v>143</v>
      </c>
      <c r="I135" s="268" t="s">
        <v>144</v>
      </c>
      <c r="J135" s="268" t="s">
        <v>145</v>
      </c>
      <c r="K135" s="268" t="s">
        <v>146</v>
      </c>
      <c r="L135" s="70"/>
    </row>
    <row r="136" spans="2:12" ht="13">
      <c r="B136" s="38" t="s">
        <v>290</v>
      </c>
      <c r="C136" s="67"/>
      <c r="D136" s="244" t="s">
        <v>135</v>
      </c>
      <c r="G136" s="293"/>
      <c r="H136" s="268"/>
      <c r="I136" s="268"/>
      <c r="J136" s="268"/>
      <c r="K136" s="268"/>
      <c r="L136" s="73"/>
    </row>
    <row r="137" spans="2:12" ht="13">
      <c r="B137" s="38" t="s">
        <v>291</v>
      </c>
      <c r="C137" s="67"/>
      <c r="D137" s="244" t="s">
        <v>135</v>
      </c>
      <c r="G137" s="293"/>
      <c r="H137" s="268"/>
      <c r="I137" s="268"/>
      <c r="J137" s="268"/>
      <c r="K137" s="268"/>
      <c r="L137" s="73"/>
    </row>
    <row r="138" spans="2:12" ht="13">
      <c r="B138" s="38" t="s">
        <v>292</v>
      </c>
      <c r="C138" s="67"/>
      <c r="D138" s="244" t="s">
        <v>135</v>
      </c>
      <c r="G138" s="293"/>
      <c r="H138" s="268"/>
      <c r="I138" s="268"/>
      <c r="J138" s="268"/>
      <c r="K138" s="268"/>
      <c r="L138" s="73"/>
    </row>
    <row r="139" spans="2:12" ht="13">
      <c r="B139" s="38" t="s">
        <v>293</v>
      </c>
      <c r="C139" s="67"/>
      <c r="D139" s="244" t="s">
        <v>135</v>
      </c>
      <c r="G139" s="293"/>
      <c r="H139" s="268"/>
      <c r="I139" s="268"/>
      <c r="J139" s="268"/>
      <c r="K139" s="268"/>
      <c r="L139" s="73"/>
    </row>
    <row r="140" spans="2:12" ht="13">
      <c r="B140" s="38" t="s">
        <v>294</v>
      </c>
      <c r="C140" s="67"/>
      <c r="D140" s="244" t="s">
        <v>135</v>
      </c>
      <c r="G140" s="293"/>
      <c r="H140" s="268"/>
      <c r="I140" s="268"/>
      <c r="J140" s="268"/>
      <c r="K140" s="268"/>
      <c r="L140" s="73"/>
    </row>
    <row r="141" spans="2:12" ht="13">
      <c r="B141" s="38" t="s">
        <v>295</v>
      </c>
      <c r="C141" s="356">
        <f>SUM(C136:C140)</f>
        <v>0</v>
      </c>
      <c r="D141" s="244" t="s">
        <v>135</v>
      </c>
      <c r="G141" s="268"/>
      <c r="H141" s="268"/>
      <c r="I141" s="268"/>
      <c r="J141" s="268"/>
      <c r="K141" s="268"/>
      <c r="L141" s="73"/>
    </row>
    <row r="142" spans="2:12" ht="13">
      <c r="B142" s="38" t="s">
        <v>296</v>
      </c>
      <c r="C142" s="79">
        <v>1</v>
      </c>
      <c r="G142" s="268"/>
      <c r="H142" s="268"/>
      <c r="I142" s="268"/>
      <c r="J142" s="268"/>
      <c r="K142" s="268"/>
      <c r="L142" s="70"/>
    </row>
    <row r="143" spans="2:12" ht="13">
      <c r="B143" s="38" t="s">
        <v>297</v>
      </c>
      <c r="C143" s="295">
        <f>C142*C141</f>
        <v>0</v>
      </c>
      <c r="D143" s="244" t="s">
        <v>135</v>
      </c>
      <c r="G143" s="268"/>
      <c r="H143" s="268"/>
      <c r="I143" s="268"/>
      <c r="J143" s="268"/>
      <c r="K143" s="268"/>
      <c r="L143" s="73"/>
    </row>
    <row r="144" spans="2:12" ht="13">
      <c r="B144" s="38" t="s">
        <v>298</v>
      </c>
      <c r="C144" s="320">
        <f>Growth_media_thickness</f>
        <v>0.15</v>
      </c>
      <c r="D144" s="244" t="s">
        <v>299</v>
      </c>
      <c r="G144" s="268"/>
      <c r="H144" s="268"/>
      <c r="I144" s="268"/>
      <c r="J144" s="268"/>
      <c r="K144" s="268"/>
      <c r="L144" s="70"/>
    </row>
    <row r="145" spans="2:12" ht="13">
      <c r="B145" s="38" t="s">
        <v>300</v>
      </c>
      <c r="C145" s="67"/>
      <c r="D145" s="244" t="s">
        <v>299</v>
      </c>
      <c r="G145" s="293" t="s">
        <v>304</v>
      </c>
      <c r="H145" s="268"/>
      <c r="I145" s="268"/>
      <c r="J145" s="268"/>
      <c r="K145" s="268"/>
      <c r="L145" s="73"/>
    </row>
    <row r="146" spans="2:12" ht="13">
      <c r="B146" s="15" t="s">
        <v>301</v>
      </c>
      <c r="C146" s="306">
        <f>C143*Square_metres_in_hectare*IF(C145=0,C144,C145)</f>
        <v>0</v>
      </c>
      <c r="D146" s="244" t="s">
        <v>302</v>
      </c>
      <c r="G146" s="268"/>
      <c r="H146" s="268"/>
      <c r="I146" s="268"/>
      <c r="J146" s="268"/>
      <c r="K146" s="268"/>
      <c r="L146" s="70"/>
    </row>
    <row r="147" spans="2:12" ht="13">
      <c r="B147" s="15" t="s">
        <v>303</v>
      </c>
      <c r="C147" s="79">
        <v>1</v>
      </c>
      <c r="G147" s="268"/>
      <c r="H147" s="268"/>
      <c r="I147" s="268"/>
      <c r="J147" s="268"/>
      <c r="K147" s="268"/>
      <c r="L147" s="73"/>
    </row>
    <row r="148" spans="2:12" ht="25">
      <c r="B148" s="15" t="s">
        <v>305</v>
      </c>
      <c r="C148" s="320">
        <f>C146*C147</f>
        <v>0</v>
      </c>
      <c r="D148" s="244" t="s">
        <v>302</v>
      </c>
      <c r="E148" s="70" t="s">
        <v>557</v>
      </c>
      <c r="G148" s="48">
        <f>_xlfn.XLOOKUP(E148,Load_haul_dump_growth_media_onsite_names_UR,Load_haul_dump_growth_media_onsite_rates_UR)</f>
        <v>5.3079018922489523</v>
      </c>
      <c r="H148" s="72"/>
      <c r="I148" s="49">
        <f>IF(H148="",G148,H148)</f>
        <v>5.3079018922489523</v>
      </c>
      <c r="J148" s="244" t="s">
        <v>302</v>
      </c>
      <c r="K148" s="46">
        <f>I148*C148</f>
        <v>0</v>
      </c>
      <c r="L148" s="70"/>
    </row>
    <row r="149" spans="2:12" ht="13">
      <c r="B149" s="15" t="s">
        <v>307</v>
      </c>
      <c r="C149" s="320">
        <f>C146-C148</f>
        <v>0</v>
      </c>
      <c r="D149" s="244" t="s">
        <v>302</v>
      </c>
      <c r="G149" s="48">
        <f>Top_soil_rate</f>
        <v>165</v>
      </c>
      <c r="H149" s="72"/>
      <c r="I149" s="49">
        <f>IF(H149="",G149,H149)</f>
        <v>165</v>
      </c>
      <c r="J149" s="244" t="s">
        <v>302</v>
      </c>
      <c r="K149" s="46">
        <f>I149*C149</f>
        <v>0</v>
      </c>
      <c r="L149" s="73"/>
    </row>
    <row r="150" spans="2:12" ht="13">
      <c r="B150" s="15" t="s">
        <v>308</v>
      </c>
      <c r="C150" s="320">
        <f>C149*_xlfn.XLOOKUP(E150,Load_haul_dump_soil_ameliorants_from_off_site_names_UR,Load_haul_dump_growth_media_distance_avg)</f>
        <v>0</v>
      </c>
      <c r="D150" s="263" t="s">
        <v>309</v>
      </c>
      <c r="E150" s="77" t="s">
        <v>310</v>
      </c>
      <c r="G150" s="48">
        <f>_xlfn.XLOOKUP(E150,Load_haul_dump_soil_ameliorants_from_off_site_names_UR,Load_haul_dump_soil_ameliorants_from_off_site_rates_UR)</f>
        <v>0.42336494510658307</v>
      </c>
      <c r="H150" s="72"/>
      <c r="I150" s="49">
        <f>IF(H150="",G150,H150)</f>
        <v>0.42336494510658307</v>
      </c>
      <c r="J150" s="244" t="s">
        <v>309</v>
      </c>
      <c r="K150" s="46">
        <f>I150*C150</f>
        <v>0</v>
      </c>
      <c r="L150" s="70"/>
    </row>
    <row r="151" spans="2:12">
      <c r="C151" s="291"/>
      <c r="L151" s="73"/>
    </row>
    <row r="152" spans="2:12" ht="13">
      <c r="B152" s="225" t="str">
        <f>B$23</f>
        <v>Totals</v>
      </c>
      <c r="C152" s="320">
        <f>C143</f>
        <v>0</v>
      </c>
      <c r="D152" s="244" t="s">
        <v>135</v>
      </c>
      <c r="H152" s="280" t="str">
        <f>CONCATENATE("Cost to ",B134)</f>
        <v>Cost to Apply growth media to rehabilitate land</v>
      </c>
      <c r="I152" s="40">
        <f>IF(C152=0,0,K152/C152)</f>
        <v>0</v>
      </c>
      <c r="J152" s="271" t="s">
        <v>324</v>
      </c>
      <c r="K152" s="98">
        <f>SUM(K136:K151)</f>
        <v>0</v>
      </c>
      <c r="L152" s="70"/>
    </row>
    <row r="153" spans="2:12">
      <c r="L153" s="73"/>
    </row>
    <row r="154" spans="2:12" ht="13">
      <c r="B154" s="222" t="s">
        <v>612</v>
      </c>
      <c r="C154" s="222"/>
      <c r="D154" s="222"/>
      <c r="E154" s="222"/>
      <c r="F154" s="222"/>
      <c r="G154" s="222"/>
      <c r="H154" s="222"/>
      <c r="I154" s="222"/>
      <c r="J154" s="222"/>
      <c r="K154" s="222"/>
      <c r="L154" s="222"/>
    </row>
    <row r="155" spans="2:12" ht="22.5" customHeight="1">
      <c r="B155" s="266" t="s">
        <v>141</v>
      </c>
      <c r="C155" s="267" t="s">
        <v>142</v>
      </c>
      <c r="D155" s="267" t="s">
        <v>82</v>
      </c>
      <c r="E155" s="269" t="s">
        <v>152</v>
      </c>
      <c r="F155" s="269"/>
      <c r="G155" s="268" t="s">
        <v>81</v>
      </c>
      <c r="H155" s="268" t="s">
        <v>143</v>
      </c>
      <c r="I155" s="268" t="s">
        <v>144</v>
      </c>
      <c r="J155" s="268" t="s">
        <v>145</v>
      </c>
      <c r="K155" s="268" t="s">
        <v>146</v>
      </c>
      <c r="L155" s="70"/>
    </row>
    <row r="156" spans="2:12" ht="13">
      <c r="B156" s="38" t="s">
        <v>290</v>
      </c>
      <c r="C156" s="67"/>
      <c r="D156" s="244" t="s">
        <v>135</v>
      </c>
      <c r="G156" s="293"/>
      <c r="H156" s="268"/>
      <c r="I156" s="268"/>
      <c r="J156" s="268"/>
      <c r="K156" s="268"/>
      <c r="L156" s="73"/>
    </row>
    <row r="157" spans="2:12" ht="13">
      <c r="B157" s="38" t="s">
        <v>291</v>
      </c>
      <c r="C157" s="67"/>
      <c r="D157" s="244" t="s">
        <v>135</v>
      </c>
      <c r="G157" s="293"/>
      <c r="H157" s="268"/>
      <c r="I157" s="268"/>
      <c r="J157" s="268"/>
      <c r="K157" s="268"/>
      <c r="L157" s="73"/>
    </row>
    <row r="158" spans="2:12" ht="13">
      <c r="B158" s="38" t="s">
        <v>292</v>
      </c>
      <c r="C158" s="67"/>
      <c r="D158" s="244" t="s">
        <v>135</v>
      </c>
      <c r="G158" s="293"/>
      <c r="H158" s="268"/>
      <c r="I158" s="268"/>
      <c r="J158" s="268"/>
      <c r="K158" s="268"/>
      <c r="L158" s="73"/>
    </row>
    <row r="159" spans="2:12" ht="13">
      <c r="B159" s="38" t="s">
        <v>293</v>
      </c>
      <c r="C159" s="67"/>
      <c r="D159" s="244" t="s">
        <v>135</v>
      </c>
      <c r="G159" s="293"/>
      <c r="H159" s="268"/>
      <c r="I159" s="268"/>
      <c r="J159" s="268"/>
      <c r="K159" s="268"/>
      <c r="L159" s="73"/>
    </row>
    <row r="160" spans="2:12" ht="13">
      <c r="B160" s="38" t="s">
        <v>294</v>
      </c>
      <c r="C160" s="67"/>
      <c r="D160" s="244" t="s">
        <v>135</v>
      </c>
      <c r="G160" s="293"/>
      <c r="H160" s="268"/>
      <c r="I160" s="268"/>
      <c r="J160" s="268"/>
      <c r="K160" s="268"/>
      <c r="L160" s="73"/>
    </row>
    <row r="161" spans="2:12" ht="13">
      <c r="B161" s="38" t="s">
        <v>295</v>
      </c>
      <c r="C161" s="356">
        <f>SUM(C156:C160)</f>
        <v>0</v>
      </c>
      <c r="D161" s="244" t="s">
        <v>135</v>
      </c>
      <c r="G161" s="267"/>
      <c r="H161" s="268"/>
      <c r="I161" s="268"/>
      <c r="J161" s="268"/>
      <c r="K161" s="268"/>
      <c r="L161" s="73"/>
    </row>
    <row r="162" spans="2:12" ht="13">
      <c r="B162" s="15" t="s">
        <v>313</v>
      </c>
      <c r="C162" s="79">
        <v>1</v>
      </c>
      <c r="D162" s="267"/>
      <c r="F162" s="268"/>
      <c r="G162" s="267"/>
      <c r="H162" s="268"/>
      <c r="I162" s="268"/>
      <c r="J162" s="268"/>
      <c r="K162" s="268"/>
      <c r="L162" s="70"/>
    </row>
    <row r="163" spans="2:12" ht="13">
      <c r="B163" s="15" t="s">
        <v>314</v>
      </c>
      <c r="C163" s="294">
        <f>C162*C161</f>
        <v>0</v>
      </c>
      <c r="D163" s="244" t="s">
        <v>135</v>
      </c>
      <c r="F163" s="268"/>
      <c r="G163" s="267"/>
      <c r="H163" s="268"/>
      <c r="I163" s="268"/>
      <c r="J163" s="268"/>
      <c r="K163" s="268"/>
      <c r="L163" s="73"/>
    </row>
    <row r="164" spans="2:12" ht="13">
      <c r="B164" s="15" t="s">
        <v>315</v>
      </c>
      <c r="C164" s="306">
        <f>_xlfn.XLOOKUP(E165,Ameliorants_soil_names_As,Ameliorants_app_rate)</f>
        <v>2</v>
      </c>
      <c r="D164" s="244" t="s">
        <v>316</v>
      </c>
      <c r="F164" s="268"/>
      <c r="G164" s="293" t="s">
        <v>304</v>
      </c>
      <c r="H164" s="268"/>
      <c r="I164" s="268"/>
      <c r="J164" s="268"/>
      <c r="K164" s="268"/>
      <c r="L164" s="70"/>
    </row>
    <row r="165" spans="2:12" ht="13">
      <c r="B165" s="15" t="s">
        <v>317</v>
      </c>
      <c r="C165" s="306">
        <f>C164*C163</f>
        <v>0</v>
      </c>
      <c r="D165" s="244" t="s">
        <v>318</v>
      </c>
      <c r="E165" s="77" t="s">
        <v>558</v>
      </c>
      <c r="F165" s="268"/>
      <c r="G165" s="48">
        <f>_xlfn.XLOOKUP(E165,Ameliorants_names,Ameliorants_rates)</f>
        <v>123</v>
      </c>
      <c r="H165" s="72"/>
      <c r="I165" s="49">
        <f>IF(H165="",G165,H165)</f>
        <v>123</v>
      </c>
      <c r="J165" s="244" t="s">
        <v>318</v>
      </c>
      <c r="K165" s="46">
        <f>I165*C165</f>
        <v>0</v>
      </c>
      <c r="L165" s="70"/>
    </row>
    <row r="166" spans="2:12" ht="13">
      <c r="B166" s="15" t="s">
        <v>320</v>
      </c>
      <c r="C166" s="320">
        <f>C165/Soil_density*_xlfn.XLOOKUP(E166,Load_haul_dump_soil_ameliorants_from_off_site_names_UR,Load_haul_dump_growth_media_distance_avg)</f>
        <v>0</v>
      </c>
      <c r="D166" s="244" t="s">
        <v>309</v>
      </c>
      <c r="E166" s="77" t="s">
        <v>321</v>
      </c>
      <c r="F166" s="268"/>
      <c r="G166" s="48">
        <f>_xlfn.XLOOKUP(E166,Load_haul_dump_soil_ameliorants_from_off_site_names_UR,Load_haul_dump_soil_ameliorants_from_off_site_rates_UR)</f>
        <v>0.26562499999999994</v>
      </c>
      <c r="H166" s="72"/>
      <c r="I166" s="49">
        <f>IF(H166="",G166,H166)</f>
        <v>0.26562499999999994</v>
      </c>
      <c r="J166" s="244" t="s">
        <v>309</v>
      </c>
      <c r="K166" s="46">
        <f>I166*C166</f>
        <v>0</v>
      </c>
      <c r="L166" s="73"/>
    </row>
    <row r="167" spans="2:12" ht="13">
      <c r="B167" s="15" t="s">
        <v>322</v>
      </c>
      <c r="C167" s="306">
        <f>C161</f>
        <v>0</v>
      </c>
      <c r="D167" s="244" t="s">
        <v>135</v>
      </c>
      <c r="F167" s="268"/>
      <c r="G167" s="39">
        <f>_xlfn.XLOOKUP(E165,Ameliorants_names,Ameliorants_rates_UR)</f>
        <v>2494.1763427996943</v>
      </c>
      <c r="H167" s="72"/>
      <c r="I167" s="49">
        <f>IF(H167="",G167,H167)</f>
        <v>2494.1763427996943</v>
      </c>
      <c r="J167" s="244" t="s">
        <v>135</v>
      </c>
      <c r="K167" s="46">
        <f>I167*C167</f>
        <v>0</v>
      </c>
      <c r="L167" s="70"/>
    </row>
    <row r="168" spans="2:12" ht="13">
      <c r="B168" s="219"/>
      <c r="C168" s="354"/>
      <c r="F168" s="268"/>
      <c r="L168" s="73"/>
    </row>
    <row r="169" spans="2:12" ht="13">
      <c r="B169" s="225" t="str">
        <f>B$23</f>
        <v>Totals</v>
      </c>
      <c r="C169" s="357">
        <f>C163</f>
        <v>0</v>
      </c>
      <c r="D169" s="244" t="s">
        <v>135</v>
      </c>
      <c r="F169" s="268"/>
      <c r="H169" s="280" t="str">
        <f>CONCATENATE("Cost to ",B154)</f>
        <v xml:space="preserve">Cost to Apply ameliorants to rehabilitate land </v>
      </c>
      <c r="I169" s="40">
        <f>IF(C169=0,0,K169/C169)</f>
        <v>0</v>
      </c>
      <c r="J169" s="271" t="s">
        <v>324</v>
      </c>
      <c r="K169" s="98">
        <f>SUM(K155:K168)</f>
        <v>0</v>
      </c>
      <c r="L169" s="70"/>
    </row>
    <row r="170" spans="2:12" ht="13">
      <c r="B170" s="219"/>
      <c r="C170" s="219"/>
      <c r="F170" s="268"/>
      <c r="H170" s="270"/>
      <c r="I170" s="55"/>
      <c r="K170" s="219"/>
      <c r="L170" s="73"/>
    </row>
    <row r="171" spans="2:12" ht="13">
      <c r="B171" s="222" t="s">
        <v>613</v>
      </c>
      <c r="C171" s="222"/>
      <c r="D171" s="222"/>
      <c r="E171" s="222"/>
      <c r="F171" s="222"/>
      <c r="G171" s="222"/>
      <c r="H171" s="222"/>
      <c r="I171" s="222"/>
      <c r="J171" s="222"/>
      <c r="K171" s="222"/>
      <c r="L171" s="222"/>
    </row>
    <row r="172" spans="2:12" ht="21.75" customHeight="1">
      <c r="B172" s="266" t="s">
        <v>141</v>
      </c>
      <c r="C172" s="267" t="s">
        <v>142</v>
      </c>
      <c r="D172" s="267" t="s">
        <v>82</v>
      </c>
      <c r="E172" s="269" t="s">
        <v>152</v>
      </c>
      <c r="F172" s="269"/>
      <c r="G172" s="268" t="s">
        <v>81</v>
      </c>
      <c r="H172" s="268" t="s">
        <v>143</v>
      </c>
      <c r="I172" s="268" t="s">
        <v>144</v>
      </c>
      <c r="J172" s="268" t="s">
        <v>145</v>
      </c>
      <c r="K172" s="268" t="s">
        <v>146</v>
      </c>
      <c r="L172" s="70"/>
    </row>
    <row r="173" spans="2:12" ht="13">
      <c r="B173" s="38" t="s">
        <v>290</v>
      </c>
      <c r="C173" s="67"/>
      <c r="D173" s="244" t="s">
        <v>135</v>
      </c>
      <c r="G173" s="293"/>
      <c r="H173" s="268"/>
      <c r="I173" s="268"/>
      <c r="J173" s="268"/>
      <c r="K173" s="268"/>
      <c r="L173" s="73"/>
    </row>
    <row r="174" spans="2:12" ht="13">
      <c r="B174" s="38" t="s">
        <v>291</v>
      </c>
      <c r="C174" s="67"/>
      <c r="D174" s="244" t="s">
        <v>135</v>
      </c>
      <c r="G174" s="293"/>
      <c r="H174" s="268"/>
      <c r="I174" s="268"/>
      <c r="J174" s="268"/>
      <c r="K174" s="268"/>
      <c r="L174" s="73"/>
    </row>
    <row r="175" spans="2:12" ht="13">
      <c r="B175" s="38" t="s">
        <v>292</v>
      </c>
      <c r="C175" s="67"/>
      <c r="D175" s="244" t="s">
        <v>135</v>
      </c>
      <c r="G175" s="293"/>
      <c r="H175" s="268"/>
      <c r="I175" s="268"/>
      <c r="J175" s="268"/>
      <c r="K175" s="268"/>
      <c r="L175" s="73"/>
    </row>
    <row r="176" spans="2:12" ht="13">
      <c r="B176" s="38" t="s">
        <v>293</v>
      </c>
      <c r="C176" s="67"/>
      <c r="D176" s="244" t="s">
        <v>135</v>
      </c>
      <c r="G176" s="293"/>
      <c r="H176" s="268"/>
      <c r="I176" s="268"/>
      <c r="J176" s="268"/>
      <c r="K176" s="268"/>
      <c r="L176" s="73"/>
    </row>
    <row r="177" spans="2:12" ht="13">
      <c r="B177" s="38" t="s">
        <v>294</v>
      </c>
      <c r="C177" s="67"/>
      <c r="D177" s="244" t="s">
        <v>135</v>
      </c>
      <c r="G177" s="293"/>
      <c r="H177" s="268"/>
      <c r="I177" s="268"/>
      <c r="J177" s="268"/>
      <c r="K177" s="268"/>
      <c r="L177" s="73"/>
    </row>
    <row r="178" spans="2:12" ht="13">
      <c r="B178" s="38" t="s">
        <v>295</v>
      </c>
      <c r="C178" s="356">
        <f>SUM(C173:C177)</f>
        <v>0</v>
      </c>
      <c r="D178" s="244" t="s">
        <v>135</v>
      </c>
      <c r="L178" s="73"/>
    </row>
    <row r="179" spans="2:12">
      <c r="B179" s="15" t="s">
        <v>326</v>
      </c>
      <c r="C179" s="79">
        <v>1</v>
      </c>
      <c r="L179" s="70"/>
    </row>
    <row r="180" spans="2:12" ht="13">
      <c r="B180" s="15" t="s">
        <v>327</v>
      </c>
      <c r="C180" s="294">
        <f>C179*C178</f>
        <v>0</v>
      </c>
      <c r="D180" s="244" t="s">
        <v>135</v>
      </c>
      <c r="E180" s="70" t="s">
        <v>328</v>
      </c>
      <c r="G180" s="39">
        <f>_xlfn.XLOOKUP(E180,Revegetation_names_UR,Revegetation_rates_UR)</f>
        <v>3436.7496736236071</v>
      </c>
      <c r="H180" s="72"/>
      <c r="I180" s="49">
        <f>IF(H180="",G180,H180)</f>
        <v>3436.7496736236071</v>
      </c>
      <c r="J180" s="244" t="s">
        <v>135</v>
      </c>
      <c r="K180" s="46">
        <f>I180*C180</f>
        <v>0</v>
      </c>
      <c r="L180" s="73"/>
    </row>
    <row r="181" spans="2:12">
      <c r="B181" s="219"/>
      <c r="C181" s="354"/>
      <c r="L181" s="70"/>
    </row>
    <row r="182" spans="2:12" ht="13">
      <c r="B182" s="225" t="str">
        <f>B$23</f>
        <v>Totals</v>
      </c>
      <c r="C182" s="357">
        <f>C180</f>
        <v>0</v>
      </c>
      <c r="D182" s="244" t="s">
        <v>135</v>
      </c>
      <c r="G182" s="263"/>
      <c r="H182" s="280" t="str">
        <f>CONCATENATE("Cost to ",B171)</f>
        <v xml:space="preserve">Cost to Revegetate to rehabilitate land </v>
      </c>
      <c r="I182" s="40">
        <f>IF(C182=0,0,K182/C182)</f>
        <v>0</v>
      </c>
      <c r="J182" s="271" t="s">
        <v>324</v>
      </c>
      <c r="K182" s="98">
        <f>SUM(K172:K181)</f>
        <v>0</v>
      </c>
      <c r="L182" s="73"/>
    </row>
    <row r="183" spans="2:12">
      <c r="L183" s="70"/>
    </row>
    <row r="184" spans="2:12" ht="13">
      <c r="B184" s="222" t="s">
        <v>356</v>
      </c>
      <c r="C184" s="222"/>
      <c r="D184" s="222"/>
      <c r="E184" s="222"/>
      <c r="F184" s="222"/>
      <c r="G184" s="222"/>
      <c r="H184" s="222"/>
      <c r="I184" s="222"/>
      <c r="J184" s="222"/>
      <c r="K184" s="222"/>
      <c r="L184" s="222"/>
    </row>
    <row r="185" spans="2:12" s="263" customFormat="1" ht="24.75" customHeight="1">
      <c r="B185" s="302" t="s">
        <v>141</v>
      </c>
      <c r="C185" s="303" t="s">
        <v>142</v>
      </c>
      <c r="D185" s="303" t="s">
        <v>82</v>
      </c>
      <c r="E185" s="303" t="s">
        <v>152</v>
      </c>
      <c r="F185" s="303"/>
      <c r="G185" s="304" t="s">
        <v>81</v>
      </c>
      <c r="H185" s="304" t="s">
        <v>143</v>
      </c>
      <c r="I185" s="304" t="s">
        <v>144</v>
      </c>
      <c r="J185" s="304" t="s">
        <v>145</v>
      </c>
      <c r="K185" s="304" t="s">
        <v>146</v>
      </c>
      <c r="L185" s="82"/>
    </row>
    <row r="186" spans="2:12" s="263" customFormat="1">
      <c r="B186" s="38" t="s">
        <v>346</v>
      </c>
      <c r="C186" s="67"/>
      <c r="D186" s="263" t="s">
        <v>274</v>
      </c>
      <c r="L186" s="82"/>
    </row>
    <row r="187" spans="2:12" s="263" customFormat="1">
      <c r="B187" s="38" t="s">
        <v>347</v>
      </c>
      <c r="C187" s="67"/>
      <c r="D187" s="263" t="s">
        <v>274</v>
      </c>
      <c r="L187" s="82"/>
    </row>
    <row r="188" spans="2:12" s="263" customFormat="1">
      <c r="B188" s="81" t="s">
        <v>348</v>
      </c>
      <c r="C188" s="67"/>
      <c r="D188" s="263" t="s">
        <v>274</v>
      </c>
      <c r="L188" s="82"/>
    </row>
    <row r="189" spans="2:12" s="263" customFormat="1">
      <c r="B189" s="81" t="s">
        <v>348</v>
      </c>
      <c r="C189" s="67"/>
      <c r="D189" s="263" t="s">
        <v>274</v>
      </c>
      <c r="L189" s="82"/>
    </row>
    <row r="190" spans="2:12" s="263" customFormat="1">
      <c r="B190" s="81" t="s">
        <v>348</v>
      </c>
      <c r="C190" s="67"/>
      <c r="D190" s="263" t="s">
        <v>274</v>
      </c>
      <c r="L190" s="82"/>
    </row>
    <row r="191" spans="2:12" s="263" customFormat="1" ht="13">
      <c r="B191" s="38" t="s">
        <v>349</v>
      </c>
      <c r="C191" s="294">
        <f>SUM(C186:C190)</f>
        <v>0</v>
      </c>
      <c r="D191" s="263" t="s">
        <v>274</v>
      </c>
      <c r="L191" s="82"/>
    </row>
    <row r="192" spans="2:12" s="263" customFormat="1">
      <c r="B192" s="15" t="s">
        <v>298</v>
      </c>
      <c r="C192" s="306">
        <f>Concrete_default_thickness</f>
        <v>0.2</v>
      </c>
      <c r="D192" s="263" t="s">
        <v>299</v>
      </c>
      <c r="L192" s="82"/>
    </row>
    <row r="193" spans="2:12" s="263" customFormat="1" ht="13">
      <c r="B193" s="15" t="s">
        <v>300</v>
      </c>
      <c r="C193" s="67"/>
      <c r="D193" s="263" t="s">
        <v>299</v>
      </c>
      <c r="E193" s="307" t="s">
        <v>350</v>
      </c>
      <c r="L193" s="82"/>
    </row>
    <row r="194" spans="2:12" s="263" customFormat="1" ht="13">
      <c r="B194" s="15" t="s">
        <v>351</v>
      </c>
      <c r="C194" s="67"/>
      <c r="D194" s="263" t="s">
        <v>302</v>
      </c>
      <c r="E194" s="307" t="s">
        <v>352</v>
      </c>
      <c r="L194" s="82"/>
    </row>
    <row r="195" spans="2:12" s="263" customFormat="1">
      <c r="B195" s="15" t="s">
        <v>353</v>
      </c>
      <c r="C195" s="298">
        <f>IF(C194=0,C191*IF(C193=0,C192,C193),C194)</f>
        <v>0</v>
      </c>
      <c r="D195" s="263" t="s">
        <v>302</v>
      </c>
      <c r="L195" s="82"/>
    </row>
    <row r="196" spans="2:12" s="263" customFormat="1" ht="25">
      <c r="B196" s="15" t="s">
        <v>354</v>
      </c>
      <c r="C196" s="306">
        <f>C195</f>
        <v>0</v>
      </c>
      <c r="D196" s="263" t="s">
        <v>302</v>
      </c>
      <c r="E196" s="76" t="s">
        <v>511</v>
      </c>
      <c r="G196" s="48">
        <f>_xlfn.XLOOKUP(E196,Load_haul_dump_concrete_onsite_names_UR,Load_haul_dump_concrete_onsite_rates_UR)</f>
        <v>4.6943198095050924</v>
      </c>
      <c r="H196" s="72"/>
      <c r="I196" s="49">
        <f>IF(H196="",G196,H196)</f>
        <v>4.6943198095050924</v>
      </c>
      <c r="J196" s="263" t="str">
        <f>D196</f>
        <v>m3</v>
      </c>
      <c r="K196" s="50">
        <f>I196*C196</f>
        <v>0</v>
      </c>
      <c r="L196" s="82"/>
    </row>
    <row r="197" spans="2:12" s="263" customFormat="1" ht="13">
      <c r="B197" s="15" t="s">
        <v>356</v>
      </c>
      <c r="C197" s="306">
        <f>C195*Concrete_density</f>
        <v>0</v>
      </c>
      <c r="D197" s="263" t="s">
        <v>318</v>
      </c>
      <c r="E197" s="76" t="s">
        <v>567</v>
      </c>
      <c r="G197" s="48">
        <f>_xlfn.XLOOKUP(E197,Concrete_crush_names_UR,Concrete_crush_rates_UR)</f>
        <v>17.021248792991859</v>
      </c>
      <c r="H197" s="72"/>
      <c r="I197" s="49">
        <f>IF(H197="",G197,H197)</f>
        <v>17.021248792991859</v>
      </c>
      <c r="J197" s="263" t="str">
        <f>D197</f>
        <v>t</v>
      </c>
      <c r="K197" s="50">
        <f>I197*C197</f>
        <v>0</v>
      </c>
      <c r="L197" s="82"/>
    </row>
    <row r="198" spans="2:12" s="263" customFormat="1" ht="25">
      <c r="B198" s="15" t="s">
        <v>358</v>
      </c>
      <c r="C198" s="306">
        <f>C195</f>
        <v>0</v>
      </c>
      <c r="D198" s="263" t="s">
        <v>302</v>
      </c>
      <c r="E198" s="76" t="s">
        <v>614</v>
      </c>
      <c r="G198" s="48">
        <f>_xlfn.XLOOKUP(E198,Load_haul_dump_concrete_onsite_names_UR,Load_haul_dump_concrete_onsite_rates_UR)</f>
        <v>5.309857207629114</v>
      </c>
      <c r="H198" s="72"/>
      <c r="I198" s="49">
        <f>IF(H198="",G198,H198)</f>
        <v>5.309857207629114</v>
      </c>
      <c r="J198" s="263" t="str">
        <f>D198</f>
        <v>m3</v>
      </c>
      <c r="K198" s="50">
        <f>I198*C198</f>
        <v>0</v>
      </c>
      <c r="L198" s="82"/>
    </row>
    <row r="199" spans="2:12" s="263" customFormat="1">
      <c r="C199" s="339"/>
      <c r="L199" s="82"/>
    </row>
    <row r="200" spans="2:12" s="263" customFormat="1" ht="13">
      <c r="B200" s="225" t="str">
        <f>B$23</f>
        <v>Totals</v>
      </c>
      <c r="C200" s="320">
        <f>C195</f>
        <v>0</v>
      </c>
      <c r="D200" s="263" t="s">
        <v>302</v>
      </c>
      <c r="H200" s="280" t="str">
        <f>CONCATENATE("Cost to ",B184)</f>
        <v>Cost to Crush concrete</v>
      </c>
      <c r="I200" s="58">
        <f>IF(C200=0,0,K200/C200)</f>
        <v>0</v>
      </c>
      <c r="J200" s="281" t="s">
        <v>361</v>
      </c>
      <c r="K200" s="44">
        <f>SUM(K185:K199)</f>
        <v>0</v>
      </c>
      <c r="L200" s="82"/>
    </row>
    <row r="201" spans="2:12" s="263" customFormat="1" ht="13">
      <c r="I201" s="58">
        <f>I200/Concrete_density</f>
        <v>0</v>
      </c>
      <c r="J201" s="281" t="s">
        <v>318</v>
      </c>
      <c r="L201" s="82"/>
    </row>
    <row r="202" spans="2:12" s="263" customFormat="1">
      <c r="L202" s="82"/>
    </row>
    <row r="203" spans="2:12" ht="13">
      <c r="B203" s="222" t="s">
        <v>615</v>
      </c>
      <c r="C203" s="222"/>
      <c r="D203" s="222"/>
      <c r="E203" s="222"/>
      <c r="F203" s="222"/>
      <c r="G203" s="222"/>
      <c r="H203" s="222"/>
      <c r="I203" s="222"/>
      <c r="J203" s="222"/>
      <c r="K203" s="222"/>
      <c r="L203" s="222"/>
    </row>
    <row r="204" spans="2:12" s="219" customFormat="1" ht="18" customHeight="1">
      <c r="B204" s="266" t="s">
        <v>141</v>
      </c>
      <c r="C204" s="267" t="s">
        <v>142</v>
      </c>
      <c r="D204" s="267" t="s">
        <v>82</v>
      </c>
      <c r="E204" s="269" t="s">
        <v>152</v>
      </c>
      <c r="F204" s="269"/>
      <c r="G204" s="268" t="s">
        <v>81</v>
      </c>
      <c r="H204" s="268" t="s">
        <v>143</v>
      </c>
      <c r="I204" s="268" t="s">
        <v>144</v>
      </c>
      <c r="J204" s="268" t="s">
        <v>145</v>
      </c>
      <c r="K204" s="268" t="s">
        <v>146</v>
      </c>
      <c r="L204" s="70"/>
    </row>
    <row r="205" spans="2:12">
      <c r="B205" s="38" t="s">
        <v>363</v>
      </c>
      <c r="C205" s="67"/>
      <c r="D205" s="244" t="s">
        <v>318</v>
      </c>
      <c r="L205" s="73"/>
    </row>
    <row r="206" spans="2:12">
      <c r="B206" s="15" t="s">
        <v>331</v>
      </c>
      <c r="C206" s="66">
        <f>_xlfn.XLOOKUP(E207,Long_haul_names_concrete_UR,Load_haul_dump_rubble_distance_avg)</f>
        <v>17.5</v>
      </c>
      <c r="D206" s="244" t="s">
        <v>155</v>
      </c>
      <c r="L206" s="73"/>
    </row>
    <row r="207" spans="2:12" ht="13">
      <c r="B207" s="15" t="s">
        <v>332</v>
      </c>
      <c r="C207" s="342">
        <f>C206*C205</f>
        <v>0</v>
      </c>
      <c r="D207" s="244" t="s">
        <v>169</v>
      </c>
      <c r="E207" s="77" t="s">
        <v>364</v>
      </c>
      <c r="G207" s="48">
        <f>_xlfn.XLOOKUP(E207,Long_haul_names_concrete_UR,Long_haul_rates_concrete_UR)</f>
        <v>1.4941927376370074</v>
      </c>
      <c r="H207" s="72"/>
      <c r="I207" s="49">
        <f>IF(H207="",G207,H207)</f>
        <v>1.4941927376370074</v>
      </c>
      <c r="J207" s="244" t="s">
        <v>169</v>
      </c>
      <c r="K207" s="46">
        <f>I207*C207</f>
        <v>0</v>
      </c>
      <c r="L207" s="73"/>
    </row>
    <row r="208" spans="2:12" ht="13">
      <c r="B208" s="57" t="s">
        <v>334</v>
      </c>
      <c r="C208" s="320">
        <f>C205</f>
        <v>0</v>
      </c>
      <c r="D208" s="244" t="s">
        <v>318</v>
      </c>
      <c r="E208" s="300" t="str">
        <f>Disposal_gate_fee_Construction_Debris</f>
        <v>Disposal (gate fee) construction debris</v>
      </c>
      <c r="G208" s="105">
        <f>Disposal_gate_fee_Construction_Debris_rate</f>
        <v>70</v>
      </c>
      <c r="H208" s="72"/>
      <c r="I208" s="49">
        <f>IF(H208="",G208,H208)</f>
        <v>70</v>
      </c>
      <c r="J208" s="244" t="s">
        <v>318</v>
      </c>
      <c r="K208" s="46">
        <f>I208*C208</f>
        <v>0</v>
      </c>
      <c r="L208" s="73"/>
    </row>
    <row r="209" spans="2:12" ht="13">
      <c r="B209" s="57" t="s">
        <v>336</v>
      </c>
      <c r="C209" s="320">
        <f>C205</f>
        <v>0</v>
      </c>
      <c r="D209" s="244" t="s">
        <v>318</v>
      </c>
      <c r="E209" s="77" t="s">
        <v>342</v>
      </c>
      <c r="G209" s="105">
        <f>_xlfn.XLOOKUP(E209,Waste_levy_names,Waste_levy_rates)</f>
        <v>85.5</v>
      </c>
      <c r="H209" s="72"/>
      <c r="I209" s="49">
        <f>IF(H209="",G209,H209)</f>
        <v>85.5</v>
      </c>
      <c r="J209" s="244" t="s">
        <v>318</v>
      </c>
      <c r="K209" s="46">
        <f>I209*C209</f>
        <v>0</v>
      </c>
      <c r="L209" s="70"/>
    </row>
    <row r="210" spans="2:12">
      <c r="C210" s="291"/>
      <c r="L210" s="73"/>
    </row>
    <row r="211" spans="2:12" ht="13">
      <c r="B211" s="225" t="str">
        <f>B$23</f>
        <v>Totals</v>
      </c>
      <c r="C211" s="357">
        <f>C205</f>
        <v>0</v>
      </c>
      <c r="D211" s="244" t="s">
        <v>318</v>
      </c>
      <c r="G211" s="263"/>
      <c r="H211" s="280" t="str">
        <f>CONCATENATE("Cost to ",B203)</f>
        <v>Cost to Dispose construction debris including concrete not part of items above</v>
      </c>
      <c r="I211" s="40">
        <f>IF(C211=0,0,K211/C211)</f>
        <v>0</v>
      </c>
      <c r="J211" s="281" t="s">
        <v>514</v>
      </c>
      <c r="K211" s="98">
        <f>SUM(K204:K210)</f>
        <v>0</v>
      </c>
      <c r="L211" s="70"/>
    </row>
    <row r="212" spans="2:12">
      <c r="C212" s="346"/>
      <c r="L212" s="70"/>
    </row>
    <row r="213" spans="2:12" ht="13">
      <c r="B213" s="222" t="s">
        <v>616</v>
      </c>
      <c r="C213" s="222"/>
      <c r="D213" s="222"/>
      <c r="E213" s="222"/>
      <c r="F213" s="222"/>
      <c r="G213" s="222"/>
      <c r="H213" s="222"/>
      <c r="I213" s="222"/>
      <c r="J213" s="222"/>
      <c r="K213" s="222"/>
      <c r="L213" s="222"/>
    </row>
    <row r="214" spans="2:12" s="219" customFormat="1" ht="17.25" customHeight="1">
      <c r="B214" s="266" t="s">
        <v>141</v>
      </c>
      <c r="C214" s="267" t="s">
        <v>142</v>
      </c>
      <c r="D214" s="267" t="s">
        <v>82</v>
      </c>
      <c r="E214" s="269" t="s">
        <v>152</v>
      </c>
      <c r="F214" s="269"/>
      <c r="G214" s="268" t="s">
        <v>81</v>
      </c>
      <c r="H214" s="268" t="s">
        <v>143</v>
      </c>
      <c r="I214" s="268" t="s">
        <v>144</v>
      </c>
      <c r="J214" s="268" t="s">
        <v>145</v>
      </c>
      <c r="K214" s="268" t="s">
        <v>146</v>
      </c>
      <c r="L214" s="70"/>
    </row>
    <row r="215" spans="2:12">
      <c r="B215" s="38" t="s">
        <v>368</v>
      </c>
      <c r="C215" s="67"/>
      <c r="D215" s="244" t="s">
        <v>318</v>
      </c>
      <c r="L215" s="73"/>
    </row>
    <row r="216" spans="2:12">
      <c r="B216" s="15" t="s">
        <v>331</v>
      </c>
      <c r="C216" s="66">
        <f>_xlfn.XLOOKUP(E217,Long_haul_names_steel_UR,Load_haul_dump_steel_distance_avg)</f>
        <v>22.5</v>
      </c>
      <c r="D216" s="244" t="s">
        <v>155</v>
      </c>
      <c r="L216" s="73"/>
    </row>
    <row r="217" spans="2:12" ht="13">
      <c r="B217" s="15" t="s">
        <v>332</v>
      </c>
      <c r="C217" s="342">
        <f>C216*C215</f>
        <v>0</v>
      </c>
      <c r="D217" s="244" t="s">
        <v>169</v>
      </c>
      <c r="E217" s="77" t="s">
        <v>369</v>
      </c>
      <c r="G217" s="48">
        <f>_xlfn.XLOOKUP(E217,Long_haul_names_steel_UR,Long_haul_rates_steel_UR)</f>
        <v>2.4064462386261694</v>
      </c>
      <c r="H217" s="72"/>
      <c r="I217" s="49">
        <f>IF(H217="",G217,H217)</f>
        <v>2.4064462386261694</v>
      </c>
      <c r="J217" s="244" t="s">
        <v>169</v>
      </c>
      <c r="K217" s="46">
        <f>I217*C217</f>
        <v>0</v>
      </c>
      <c r="L217" s="73"/>
    </row>
    <row r="218" spans="2:12" ht="13">
      <c r="B218" s="57" t="s">
        <v>334</v>
      </c>
      <c r="C218" s="320">
        <f>C215</f>
        <v>0</v>
      </c>
      <c r="D218" s="244" t="s">
        <v>318</v>
      </c>
      <c r="E218" s="300" t="str">
        <f>Rates!B110</f>
        <v>Disposal (gate fee) steel</v>
      </c>
      <c r="G218" s="105">
        <f>Disposal_gate_fee_Steel</f>
        <v>0</v>
      </c>
      <c r="H218" s="72"/>
      <c r="I218" s="49">
        <f>IF(H218="",G218,H218)</f>
        <v>0</v>
      </c>
      <c r="J218" s="244" t="s">
        <v>318</v>
      </c>
      <c r="K218" s="46">
        <f>I218*C218</f>
        <v>0</v>
      </c>
      <c r="L218" s="73"/>
    </row>
    <row r="219" spans="2:12" ht="13">
      <c r="B219" s="57" t="s">
        <v>336</v>
      </c>
      <c r="C219" s="320">
        <f>C215</f>
        <v>0</v>
      </c>
      <c r="D219" s="244" t="s">
        <v>318</v>
      </c>
      <c r="E219" s="77" t="s">
        <v>342</v>
      </c>
      <c r="G219" s="105">
        <f>_xlfn.XLOOKUP(E219,Waste_levy_names,Waste_levy_rates)</f>
        <v>85.5</v>
      </c>
      <c r="H219" s="72"/>
      <c r="I219" s="49">
        <f>IF(H219="",G219,H219)</f>
        <v>85.5</v>
      </c>
      <c r="J219" s="244" t="s">
        <v>318</v>
      </c>
      <c r="K219" s="46">
        <f>I219*C219</f>
        <v>0</v>
      </c>
      <c r="L219" s="73"/>
    </row>
    <row r="220" spans="2:12">
      <c r="C220" s="291"/>
      <c r="L220" s="73"/>
    </row>
    <row r="221" spans="2:12" ht="13">
      <c r="B221" s="225" t="str">
        <f>B$23</f>
        <v>Totals</v>
      </c>
      <c r="C221" s="357">
        <f>C215</f>
        <v>0</v>
      </c>
      <c r="D221" s="244" t="s">
        <v>318</v>
      </c>
      <c r="G221" s="263"/>
      <c r="H221" s="280" t="str">
        <f>CONCATENATE("Cost to ",B213)</f>
        <v>Cost to Dispose of steel not part of items above</v>
      </c>
      <c r="I221" s="40">
        <f>IF(C221=0,0,K221/C221)</f>
        <v>0</v>
      </c>
      <c r="J221" s="281" t="s">
        <v>501</v>
      </c>
      <c r="K221" s="98">
        <f>SUM(K214:K220)</f>
        <v>0</v>
      </c>
      <c r="L221" s="70"/>
    </row>
    <row r="222" spans="2:12">
      <c r="L222" s="70"/>
    </row>
    <row r="223" spans="2:12" ht="13">
      <c r="B223" s="222" t="s">
        <v>617</v>
      </c>
      <c r="C223" s="222"/>
      <c r="D223" s="222"/>
      <c r="E223" s="222"/>
      <c r="F223" s="222"/>
      <c r="G223" s="222"/>
      <c r="H223" s="222"/>
      <c r="I223" s="222"/>
      <c r="J223" s="222"/>
      <c r="K223" s="222"/>
      <c r="L223" s="222"/>
    </row>
    <row r="224" spans="2:12" s="219" customFormat="1" ht="19.5" customHeight="1">
      <c r="B224" s="266" t="s">
        <v>141</v>
      </c>
      <c r="C224" s="267" t="s">
        <v>142</v>
      </c>
      <c r="D224" s="267" t="s">
        <v>82</v>
      </c>
      <c r="E224" s="269" t="s">
        <v>152</v>
      </c>
      <c r="F224" s="269"/>
      <c r="G224" s="268" t="s">
        <v>81</v>
      </c>
      <c r="H224" s="268" t="s">
        <v>143</v>
      </c>
      <c r="I224" s="268" t="s">
        <v>144</v>
      </c>
      <c r="J224" s="268" t="s">
        <v>145</v>
      </c>
      <c r="K224" s="268" t="s">
        <v>146</v>
      </c>
      <c r="L224" s="92" t="s">
        <v>373</v>
      </c>
    </row>
    <row r="225" spans="2:12">
      <c r="B225" s="38" t="s">
        <v>374</v>
      </c>
      <c r="C225" s="67"/>
      <c r="D225" s="244" t="s">
        <v>318</v>
      </c>
      <c r="L225" s="73"/>
    </row>
    <row r="226" spans="2:12">
      <c r="B226" s="15" t="s">
        <v>331</v>
      </c>
      <c r="C226" s="66">
        <f>_xlfn.XLOOKUP(E227,Load_haul_dump_soil_ameliorants_from_off_site_names_UR,Load_haul_dump_growth_media_distance_avg)</f>
        <v>22.5</v>
      </c>
      <c r="D226" s="244" t="s">
        <v>155</v>
      </c>
      <c r="L226" s="73"/>
    </row>
    <row r="227" spans="2:12" ht="13">
      <c r="B227" s="15" t="s">
        <v>332</v>
      </c>
      <c r="C227" s="347">
        <f>C226*C225</f>
        <v>0</v>
      </c>
      <c r="D227" s="244" t="s">
        <v>169</v>
      </c>
      <c r="E227" s="77" t="s">
        <v>321</v>
      </c>
      <c r="G227" s="48">
        <f>_xlfn.XLOOKUP(E227,Load_haul_dump_soil_ameliorants_from_off_site_names_UR,Load_haul_dump_soil_ameliorants_from_off_site_rates_UR)</f>
        <v>0.26562499999999994</v>
      </c>
      <c r="H227" s="72"/>
      <c r="I227" s="49">
        <f>IF(H227="",G227,H227)</f>
        <v>0.26562499999999994</v>
      </c>
      <c r="J227" s="244" t="s">
        <v>169</v>
      </c>
      <c r="K227" s="46">
        <f>I227*C227</f>
        <v>0</v>
      </c>
      <c r="L227" s="73"/>
    </row>
    <row r="228" spans="2:12" ht="13">
      <c r="B228" s="57" t="s">
        <v>334</v>
      </c>
      <c r="C228" s="320">
        <f>C225</f>
        <v>0</v>
      </c>
      <c r="D228" s="244" t="s">
        <v>318</v>
      </c>
      <c r="E228" s="80" t="s">
        <v>880</v>
      </c>
      <c r="G228" s="48">
        <f>_xlfn.XLOOKUP(E228,Disposal_gate_fee_names,Disposal_gate_fee_rates)</f>
        <v>275</v>
      </c>
      <c r="H228" s="72"/>
      <c r="I228" s="49">
        <f>IF(H228="",G228,H228)</f>
        <v>275</v>
      </c>
      <c r="J228" s="244" t="s">
        <v>318</v>
      </c>
      <c r="K228" s="46">
        <f>I228*C228</f>
        <v>0</v>
      </c>
      <c r="L228" s="73"/>
    </row>
    <row r="229" spans="2:12" ht="13">
      <c r="B229" s="57" t="s">
        <v>336</v>
      </c>
      <c r="C229" s="320">
        <f>C225</f>
        <v>0</v>
      </c>
      <c r="D229" s="244" t="s">
        <v>318</v>
      </c>
      <c r="E229" s="77" t="s">
        <v>342</v>
      </c>
      <c r="G229" s="105">
        <f>_xlfn.XLOOKUP(E229,Waste_levy_names,Waste_levy_rates)</f>
        <v>85.5</v>
      </c>
      <c r="H229" s="72"/>
      <c r="I229" s="49">
        <f>IF(H229="",G229,H229)</f>
        <v>85.5</v>
      </c>
      <c r="J229" s="244" t="s">
        <v>318</v>
      </c>
      <c r="K229" s="46">
        <f>I229*C229</f>
        <v>0</v>
      </c>
      <c r="L229" s="70"/>
    </row>
    <row r="230" spans="2:12">
      <c r="C230" s="291"/>
      <c r="L230" s="73"/>
    </row>
    <row r="231" spans="2:12" ht="13">
      <c r="B231" s="225" t="str">
        <f>B$23</f>
        <v>Totals</v>
      </c>
      <c r="C231" s="357">
        <f>C225</f>
        <v>0</v>
      </c>
      <c r="D231" s="244" t="s">
        <v>318</v>
      </c>
      <c r="G231" s="263"/>
      <c r="H231" s="280" t="str">
        <f>CONCATENATE("Cost to ",B223)</f>
        <v>Cost to Dispose of soil (by mass)</v>
      </c>
      <c r="I231" s="40">
        <f>IF(C231=0,0,K231/C231)</f>
        <v>0</v>
      </c>
      <c r="J231" s="281" t="s">
        <v>366</v>
      </c>
      <c r="K231" s="98">
        <f>SUM(K224:K230)</f>
        <v>0</v>
      </c>
      <c r="L231" s="70"/>
    </row>
    <row r="232" spans="2:12">
      <c r="L232" s="70"/>
    </row>
    <row r="233" spans="2:12" ht="13">
      <c r="B233" s="222" t="s">
        <v>376</v>
      </c>
      <c r="C233" s="222"/>
      <c r="D233" s="222"/>
      <c r="E233" s="222"/>
      <c r="F233" s="222"/>
      <c r="G233" s="222"/>
      <c r="H233" s="222"/>
      <c r="I233" s="222"/>
      <c r="J233" s="222"/>
      <c r="K233" s="222"/>
      <c r="L233" s="222"/>
    </row>
    <row r="234" spans="2:12" s="263" customFormat="1" ht="23.5" customHeight="1">
      <c r="B234" s="272" t="s">
        <v>141</v>
      </c>
      <c r="C234" s="273" t="s">
        <v>142</v>
      </c>
      <c r="D234" s="273" t="s">
        <v>82</v>
      </c>
      <c r="E234" s="276" t="s">
        <v>152</v>
      </c>
      <c r="F234" s="276"/>
      <c r="G234" s="275" t="s">
        <v>81</v>
      </c>
      <c r="H234" s="275" t="s">
        <v>143</v>
      </c>
      <c r="I234" s="275" t="s">
        <v>144</v>
      </c>
      <c r="J234" s="275" t="s">
        <v>145</v>
      </c>
      <c r="K234" s="275" t="s">
        <v>146</v>
      </c>
      <c r="L234" s="70"/>
    </row>
    <row r="235" spans="2:12" s="263" customFormat="1" ht="13">
      <c r="B235" s="38" t="s">
        <v>377</v>
      </c>
      <c r="C235" s="69"/>
      <c r="D235" s="263" t="s">
        <v>380</v>
      </c>
      <c r="E235" s="77" t="s">
        <v>568</v>
      </c>
      <c r="G235" s="39">
        <f>_xlfn.XLOOKUP(E235,Mobe_names_BESS_CS,Mobe_rates_BESS_CS)</f>
        <v>62000</v>
      </c>
      <c r="H235" s="72"/>
      <c r="I235" s="40">
        <f t="shared" ref="I235:I236" si="17">IF(H235="",G235,H235)</f>
        <v>62000</v>
      </c>
      <c r="J235" s="263" t="s">
        <v>380</v>
      </c>
      <c r="K235" s="46">
        <f>I235*C235</f>
        <v>0</v>
      </c>
      <c r="L235" s="73"/>
    </row>
    <row r="236" spans="2:12" s="263" customFormat="1" ht="13">
      <c r="B236" s="38" t="s">
        <v>381</v>
      </c>
      <c r="C236" s="69"/>
      <c r="D236" s="263" t="s">
        <v>380</v>
      </c>
      <c r="E236" s="77" t="s">
        <v>569</v>
      </c>
      <c r="G236" s="39">
        <f>_xlfn.XLOOKUP(E236,Mobe_names_electrical_CS,Mobe_rates_electrical_CS)</f>
        <v>69000</v>
      </c>
      <c r="H236" s="72"/>
      <c r="I236" s="40">
        <f t="shared" si="17"/>
        <v>69000</v>
      </c>
      <c r="J236" s="263" t="s">
        <v>380</v>
      </c>
      <c r="K236" s="46">
        <f t="shared" ref="K236:K237" si="18">I236*C236</f>
        <v>0</v>
      </c>
      <c r="L236" s="73"/>
    </row>
    <row r="237" spans="2:12" s="263" customFormat="1" ht="13">
      <c r="B237" s="38" t="s">
        <v>383</v>
      </c>
      <c r="C237" s="69"/>
      <c r="D237" s="263" t="s">
        <v>380</v>
      </c>
      <c r="E237" s="77" t="s">
        <v>570</v>
      </c>
      <c r="G237" s="39">
        <f>_xlfn.XLOOKUP(E237,Mobe_names_land_CS,Mobe_rates_land_CS)</f>
        <v>111000</v>
      </c>
      <c r="H237" s="72"/>
      <c r="I237" s="40">
        <f>IF(H237="",G237,H237)</f>
        <v>111000</v>
      </c>
      <c r="J237" s="263" t="s">
        <v>380</v>
      </c>
      <c r="K237" s="46">
        <f t="shared" si="18"/>
        <v>0</v>
      </c>
      <c r="L237" s="73"/>
    </row>
    <row r="238" spans="2:12" s="263" customFormat="1">
      <c r="C238" s="348"/>
      <c r="K238" s="244"/>
      <c r="L238" s="73"/>
    </row>
    <row r="239" spans="2:12" s="263" customFormat="1" ht="13">
      <c r="B239" s="225" t="str">
        <f>B$23</f>
        <v>Totals</v>
      </c>
      <c r="C239" s="358">
        <f>SUM(C235:C237)</f>
        <v>0</v>
      </c>
      <c r="D239" s="263" t="s">
        <v>378</v>
      </c>
      <c r="H239" s="280" t="str">
        <f>CONCATENATE("Cost to ",B233)</f>
        <v>Cost to Mobilisation</v>
      </c>
      <c r="I239" s="40">
        <f>IF(C239=0,0,K239/C239)</f>
        <v>0</v>
      </c>
      <c r="J239" s="281" t="s">
        <v>386</v>
      </c>
      <c r="K239" s="36">
        <f>SUM(K234:K238)</f>
        <v>0</v>
      </c>
      <c r="L239" s="70"/>
    </row>
    <row r="240" spans="2:12" s="263" customFormat="1">
      <c r="L240" s="70"/>
    </row>
    <row r="241" spans="2:12" ht="13">
      <c r="B241" s="222" t="s">
        <v>618</v>
      </c>
      <c r="C241" s="222"/>
      <c r="D241" s="222"/>
      <c r="E241" s="222"/>
      <c r="F241" s="222"/>
      <c r="G241" s="222"/>
      <c r="H241" s="222"/>
      <c r="I241" s="222"/>
      <c r="J241" s="222"/>
      <c r="K241" s="222"/>
      <c r="L241" s="222"/>
    </row>
    <row r="242" spans="2:12" s="219" customFormat="1" ht="18.75" customHeight="1">
      <c r="B242" s="266" t="s">
        <v>141</v>
      </c>
      <c r="C242" s="267" t="s">
        <v>142</v>
      </c>
      <c r="D242" s="267" t="s">
        <v>82</v>
      </c>
      <c r="E242" s="269"/>
      <c r="F242" s="269"/>
      <c r="G242" s="268" t="s">
        <v>81</v>
      </c>
      <c r="H242" s="268" t="s">
        <v>143</v>
      </c>
      <c r="I242" s="268" t="s">
        <v>144</v>
      </c>
      <c r="J242" s="268" t="s">
        <v>145</v>
      </c>
      <c r="K242" s="268" t="s">
        <v>146</v>
      </c>
      <c r="L242" s="70"/>
    </row>
    <row r="243" spans="2:12" ht="13">
      <c r="B243" s="38" t="s">
        <v>390</v>
      </c>
      <c r="C243" s="69"/>
      <c r="D243" s="244" t="s">
        <v>391</v>
      </c>
      <c r="H243" s="72"/>
      <c r="I243" s="40">
        <f t="shared" ref="I243:I245" si="19">IF(H243="",G243,H243)</f>
        <v>0</v>
      </c>
      <c r="J243" s="263" t="s">
        <v>391</v>
      </c>
      <c r="K243" s="46">
        <f>I243*C243</f>
        <v>0</v>
      </c>
      <c r="L243" s="73"/>
    </row>
    <row r="244" spans="2:12" ht="13">
      <c r="B244" s="38" t="s">
        <v>392</v>
      </c>
      <c r="C244" s="69"/>
      <c r="D244" s="244" t="s">
        <v>391</v>
      </c>
      <c r="H244" s="72"/>
      <c r="I244" s="40">
        <f t="shared" si="19"/>
        <v>0</v>
      </c>
      <c r="J244" s="263" t="s">
        <v>391</v>
      </c>
      <c r="K244" s="46">
        <f t="shared" ref="K244:K245" si="20">I244*C244</f>
        <v>0</v>
      </c>
      <c r="L244" s="70"/>
    </row>
    <row r="245" spans="2:12" ht="13">
      <c r="B245" s="81" t="s">
        <v>348</v>
      </c>
      <c r="C245" s="69"/>
      <c r="D245" s="244" t="s">
        <v>391</v>
      </c>
      <c r="G245" s="48"/>
      <c r="H245" s="72"/>
      <c r="I245" s="49">
        <f t="shared" si="19"/>
        <v>0</v>
      </c>
      <c r="J245" s="263" t="s">
        <v>391</v>
      </c>
      <c r="K245" s="46">
        <f t="shared" si="20"/>
        <v>0</v>
      </c>
      <c r="L245" s="73"/>
    </row>
    <row r="246" spans="2:12" ht="13">
      <c r="B246" s="81" t="s">
        <v>348</v>
      </c>
      <c r="C246" s="69"/>
      <c r="D246" s="244" t="s">
        <v>391</v>
      </c>
      <c r="G246" s="48"/>
      <c r="H246" s="72"/>
      <c r="I246" s="49">
        <f>IF(H246="",G246,H246)</f>
        <v>0</v>
      </c>
      <c r="J246" s="263" t="s">
        <v>391</v>
      </c>
      <c r="K246" s="46">
        <f>I246*C246</f>
        <v>0</v>
      </c>
      <c r="L246" s="70"/>
    </row>
    <row r="247" spans="2:12" ht="13">
      <c r="B247" s="81" t="s">
        <v>348</v>
      </c>
      <c r="C247" s="69"/>
      <c r="D247" s="244" t="s">
        <v>391</v>
      </c>
      <c r="G247" s="48"/>
      <c r="H247" s="72"/>
      <c r="I247" s="49">
        <f>IF(H247="",G247,H247)</f>
        <v>0</v>
      </c>
      <c r="J247" s="263" t="s">
        <v>391</v>
      </c>
      <c r="K247" s="46">
        <f>I247*C247</f>
        <v>0</v>
      </c>
      <c r="L247" s="73"/>
    </row>
    <row r="248" spans="2:12">
      <c r="C248" s="338"/>
      <c r="L248" s="73"/>
    </row>
    <row r="249" spans="2:12" ht="13">
      <c r="B249" s="225" t="str">
        <f>B$23</f>
        <v>Totals</v>
      </c>
      <c r="C249" s="358">
        <f>SUM(C242:C248)</f>
        <v>0</v>
      </c>
      <c r="D249" s="244" t="s">
        <v>388</v>
      </c>
      <c r="G249" s="263"/>
      <c r="H249" s="280" t="str">
        <f>CONCATENATE("Cost to ",B241)</f>
        <v>Cost to Report and document</v>
      </c>
      <c r="I249" s="40">
        <f>IF(C249=0,0,K249/C249)</f>
        <v>0</v>
      </c>
      <c r="J249" s="281" t="s">
        <v>394</v>
      </c>
      <c r="K249" s="98">
        <f>SUM(K242:K248)</f>
        <v>0</v>
      </c>
      <c r="L249" s="70"/>
    </row>
    <row r="250" spans="2:12">
      <c r="L250" s="70"/>
    </row>
    <row r="251" spans="2:12" ht="13">
      <c r="B251" s="222" t="s">
        <v>395</v>
      </c>
      <c r="C251" s="222"/>
      <c r="D251" s="222"/>
      <c r="E251" s="222"/>
      <c r="F251" s="222"/>
      <c r="G251" s="222"/>
      <c r="H251" s="222"/>
      <c r="I251" s="222"/>
      <c r="J251" s="222"/>
      <c r="K251" s="222"/>
      <c r="L251" s="222"/>
    </row>
    <row r="252" spans="2:12" s="219" customFormat="1" ht="21" customHeight="1">
      <c r="B252" s="266" t="s">
        <v>141</v>
      </c>
      <c r="C252" s="267" t="s">
        <v>142</v>
      </c>
      <c r="D252" s="267" t="s">
        <v>82</v>
      </c>
      <c r="E252" s="269" t="s">
        <v>132</v>
      </c>
      <c r="F252" s="269"/>
      <c r="G252" s="268"/>
      <c r="H252" s="268" t="s">
        <v>143</v>
      </c>
      <c r="I252" s="268" t="s">
        <v>144</v>
      </c>
      <c r="J252" s="268" t="s">
        <v>145</v>
      </c>
      <c r="K252" s="268" t="s">
        <v>146</v>
      </c>
      <c r="L252" s="70"/>
    </row>
    <row r="253" spans="2:12" ht="13">
      <c r="B253" s="81" t="s">
        <v>396</v>
      </c>
      <c r="C253" s="67"/>
      <c r="D253" s="83"/>
      <c r="E253" s="70"/>
      <c r="H253" s="215"/>
      <c r="I253" s="49">
        <f t="shared" ref="I253:I255" si="21">IF(H253="",G253,H253)</f>
        <v>0</v>
      </c>
      <c r="J253" s="313">
        <f>D253</f>
        <v>0</v>
      </c>
      <c r="K253" s="46">
        <f t="shared" ref="K253:K258" si="22">I253*C253</f>
        <v>0</v>
      </c>
      <c r="L253" s="73"/>
    </row>
    <row r="254" spans="2:12" ht="13">
      <c r="B254" s="81" t="s">
        <v>396</v>
      </c>
      <c r="C254" s="67"/>
      <c r="D254" s="83"/>
      <c r="E254" s="70"/>
      <c r="H254" s="215"/>
      <c r="I254" s="49">
        <f t="shared" si="21"/>
        <v>0</v>
      </c>
      <c r="J254" s="313">
        <f t="shared" ref="J254:J258" si="23">D254</f>
        <v>0</v>
      </c>
      <c r="K254" s="46">
        <f t="shared" si="22"/>
        <v>0</v>
      </c>
      <c r="L254" s="70"/>
    </row>
    <row r="255" spans="2:12" ht="13">
      <c r="B255" s="81" t="s">
        <v>396</v>
      </c>
      <c r="C255" s="67"/>
      <c r="D255" s="83"/>
      <c r="E255" s="70"/>
      <c r="H255" s="215"/>
      <c r="I255" s="49">
        <f t="shared" si="21"/>
        <v>0</v>
      </c>
      <c r="J255" s="313">
        <f t="shared" si="23"/>
        <v>0</v>
      </c>
      <c r="K255" s="46">
        <f t="shared" si="22"/>
        <v>0</v>
      </c>
      <c r="L255" s="73"/>
    </row>
    <row r="256" spans="2:12" ht="13">
      <c r="B256" s="81" t="s">
        <v>396</v>
      </c>
      <c r="C256" s="67"/>
      <c r="D256" s="83"/>
      <c r="E256" s="70"/>
      <c r="H256" s="215"/>
      <c r="I256" s="49">
        <f>IF(H256="",G256,H256)</f>
        <v>0</v>
      </c>
      <c r="J256" s="313">
        <f t="shared" si="23"/>
        <v>0</v>
      </c>
      <c r="K256" s="46">
        <f t="shared" si="22"/>
        <v>0</v>
      </c>
      <c r="L256" s="70"/>
    </row>
    <row r="257" spans="2:12" ht="13">
      <c r="B257" s="81" t="s">
        <v>396</v>
      </c>
      <c r="C257" s="67"/>
      <c r="D257" s="83"/>
      <c r="E257" s="70"/>
      <c r="H257" s="215"/>
      <c r="I257" s="49">
        <f>IF(H257="",G257,H257)</f>
        <v>0</v>
      </c>
      <c r="J257" s="313">
        <f t="shared" si="23"/>
        <v>0</v>
      </c>
      <c r="K257" s="46">
        <f t="shared" si="22"/>
        <v>0</v>
      </c>
      <c r="L257" s="73"/>
    </row>
    <row r="258" spans="2:12" ht="13">
      <c r="B258" s="81" t="s">
        <v>396</v>
      </c>
      <c r="C258" s="67"/>
      <c r="D258" s="83"/>
      <c r="E258" s="70"/>
      <c r="H258" s="215"/>
      <c r="I258" s="49">
        <f>IF(H258="",G258,H258)</f>
        <v>0</v>
      </c>
      <c r="J258" s="313">
        <f t="shared" si="23"/>
        <v>0</v>
      </c>
      <c r="K258" s="46">
        <f t="shared" si="22"/>
        <v>0</v>
      </c>
      <c r="L258" s="70"/>
    </row>
    <row r="259" spans="2:12">
      <c r="C259" s="291"/>
      <c r="L259" s="73"/>
    </row>
    <row r="260" spans="2:12" ht="13">
      <c r="B260" s="225" t="str">
        <f>B$23</f>
        <v>Totals</v>
      </c>
      <c r="C260" s="357">
        <f>SUM(C252:C259)</f>
        <v>0</v>
      </c>
      <c r="D260" s="313" t="s">
        <v>388</v>
      </c>
      <c r="G260" s="263"/>
      <c r="H260" s="280" t="s">
        <v>397</v>
      </c>
      <c r="I260" s="49">
        <f>IF(C260=0,0,K260/C260)</f>
        <v>0</v>
      </c>
      <c r="J260" s="314" t="s">
        <v>398</v>
      </c>
      <c r="K260" s="98">
        <f>SUM(K252:K259)</f>
        <v>0</v>
      </c>
      <c r="L260" s="70"/>
    </row>
    <row r="261" spans="2:12">
      <c r="L261" s="70"/>
    </row>
    <row r="262" spans="2:12" ht="13">
      <c r="B262" s="222" t="s">
        <v>399</v>
      </c>
      <c r="C262" s="222"/>
      <c r="D262" s="222"/>
      <c r="E262" s="222"/>
      <c r="F262" s="222"/>
      <c r="G262" s="222"/>
      <c r="H262" s="222"/>
      <c r="I262" s="222"/>
      <c r="J262" s="222"/>
      <c r="K262" s="222"/>
      <c r="L262" s="222"/>
    </row>
    <row r="263" spans="2:12" s="263" customFormat="1" ht="21.65" customHeight="1">
      <c r="B263" s="302" t="s">
        <v>141</v>
      </c>
      <c r="C263" s="303" t="s">
        <v>142</v>
      </c>
      <c r="D263" s="303" t="s">
        <v>82</v>
      </c>
      <c r="E263" s="269"/>
      <c r="F263" s="350" t="s">
        <v>402</v>
      </c>
      <c r="G263" s="304" t="s">
        <v>81</v>
      </c>
      <c r="H263" s="304" t="s">
        <v>143</v>
      </c>
      <c r="I263" s="304" t="s">
        <v>144</v>
      </c>
      <c r="J263" s="304" t="s">
        <v>145</v>
      </c>
      <c r="K263" s="304" t="s">
        <v>146</v>
      </c>
      <c r="L263" s="70"/>
    </row>
    <row r="264" spans="2:12" s="263" customFormat="1" ht="13">
      <c r="B264" s="38" t="s">
        <v>403</v>
      </c>
      <c r="C264" s="59">
        <v>0.1</v>
      </c>
      <c r="D264" s="84"/>
      <c r="E264" s="307" t="s">
        <v>404</v>
      </c>
      <c r="F264" s="316">
        <f>SUM(K23,K31,K40,K48,K56,K68,K91,K105,K112,K122,K132,K152,K169,K182,K200,K211,K221,K231,K239,K249,K260)</f>
        <v>0</v>
      </c>
      <c r="G264" s="39">
        <f>F$264*IF(D264="",C264,D264)</f>
        <v>0</v>
      </c>
      <c r="H264" s="72"/>
      <c r="I264" s="40">
        <f>IF(H264="",G264,H264)</f>
        <v>0</v>
      </c>
      <c r="K264" s="46">
        <f>I264</f>
        <v>0</v>
      </c>
      <c r="L264" s="73"/>
    </row>
    <row r="265" spans="2:12" s="263" customFormat="1" ht="13">
      <c r="B265" s="38" t="s">
        <v>405</v>
      </c>
      <c r="C265" s="59">
        <v>0.05</v>
      </c>
      <c r="D265" s="84"/>
      <c r="E265" s="307" t="s">
        <v>404</v>
      </c>
      <c r="G265" s="39">
        <f t="shared" ref="G265:G266" si="24">F$264*IF(D265="",C265,D265)</f>
        <v>0</v>
      </c>
      <c r="H265" s="72"/>
      <c r="I265" s="40">
        <f t="shared" ref="I265:I266" si="25">IF(H265="",G265,H265)</f>
        <v>0</v>
      </c>
      <c r="K265" s="46">
        <f t="shared" ref="K265:K266" si="26">I265</f>
        <v>0</v>
      </c>
      <c r="L265" s="70"/>
    </row>
    <row r="266" spans="2:12" s="263" customFormat="1" ht="13">
      <c r="B266" s="60" t="s">
        <v>406</v>
      </c>
      <c r="C266" s="59">
        <v>0.1</v>
      </c>
      <c r="D266" s="84"/>
      <c r="E266" s="307" t="s">
        <v>404</v>
      </c>
      <c r="G266" s="39">
        <f t="shared" si="24"/>
        <v>0</v>
      </c>
      <c r="H266" s="72"/>
      <c r="I266" s="40">
        <f t="shared" si="25"/>
        <v>0</v>
      </c>
      <c r="K266" s="46">
        <f t="shared" si="26"/>
        <v>0</v>
      </c>
      <c r="L266" s="73"/>
    </row>
    <row r="267" spans="2:12">
      <c r="L267" s="73"/>
    </row>
    <row r="268" spans="2:12" s="263" customFormat="1" ht="13">
      <c r="H268" s="280"/>
      <c r="J268" s="281" t="s">
        <v>398</v>
      </c>
      <c r="K268" s="36">
        <f>SUM(K263:K267)</f>
        <v>0</v>
      </c>
      <c r="L268" s="73"/>
    </row>
    <row r="269" spans="2:12" s="263" customFormat="1">
      <c r="C269" s="244"/>
      <c r="J269" s="244"/>
      <c r="L269" s="73"/>
    </row>
    <row r="270" spans="2:12" ht="13">
      <c r="B270" s="222" t="s">
        <v>98</v>
      </c>
      <c r="C270" s="222"/>
      <c r="D270" s="222"/>
      <c r="E270" s="222"/>
      <c r="F270" s="222"/>
      <c r="G270" s="222"/>
      <c r="H270" s="222"/>
      <c r="I270" s="222"/>
      <c r="J270" s="222"/>
      <c r="K270" s="222"/>
      <c r="L270" s="222"/>
    </row>
    <row r="271" spans="2:12" ht="21.75" customHeight="1">
      <c r="B271" s="266" t="s">
        <v>619</v>
      </c>
      <c r="C271" s="267" t="s">
        <v>407</v>
      </c>
      <c r="D271" s="267" t="s">
        <v>415</v>
      </c>
      <c r="E271" s="269" t="s">
        <v>409</v>
      </c>
      <c r="F271" s="269"/>
      <c r="G271" s="268" t="s">
        <v>81</v>
      </c>
      <c r="H271" s="268" t="s">
        <v>143</v>
      </c>
      <c r="I271" s="268" t="s">
        <v>144</v>
      </c>
      <c r="J271" s="268" t="s">
        <v>145</v>
      </c>
      <c r="K271" s="268" t="s">
        <v>146</v>
      </c>
      <c r="L271" s="73"/>
    </row>
    <row r="272" spans="2:12" ht="13">
      <c r="B272" s="15" t="s">
        <v>410</v>
      </c>
      <c r="D272" s="317"/>
      <c r="E272" s="343" t="str">
        <f>C$14</f>
        <v>Select make and model</v>
      </c>
      <c r="F272" s="269"/>
      <c r="L272" s="73"/>
    </row>
    <row r="273" spans="2:12" ht="14.5">
      <c r="B273" s="38" t="s">
        <v>416</v>
      </c>
      <c r="C273" s="359"/>
      <c r="D273" s="360"/>
      <c r="F273" s="269"/>
      <c r="L273" s="73"/>
    </row>
    <row r="274" spans="2:12" ht="14.5">
      <c r="B274" s="38" t="str" cm="1">
        <f t="array" ref="B274:B282">Batteries!B8:B16</f>
        <v>Steel (carbon/stainless)</v>
      </c>
      <c r="C274" s="359"/>
      <c r="D274" s="360"/>
      <c r="E274" s="70"/>
      <c r="G274" s="209">
        <f>Scrap_stainless_steel_rate*kilograms_in_tonnes</f>
        <v>2000</v>
      </c>
      <c r="H274" s="72"/>
      <c r="I274" s="211">
        <f>IF(H274="",G274,H274)</f>
        <v>2000</v>
      </c>
      <c r="J274" s="244" t="s">
        <v>318</v>
      </c>
      <c r="K274" s="46"/>
      <c r="L274" s="73"/>
    </row>
    <row r="275" spans="2:12" ht="14.5">
      <c r="B275" s="38" t="str">
        <v>Copper</v>
      </c>
      <c r="C275" s="359"/>
      <c r="D275" s="360"/>
      <c r="E275" s="70"/>
      <c r="G275" s="209">
        <f>Scrap_copper_and_alloy_rate*kilograms_in_tonnes</f>
        <v>5000</v>
      </c>
      <c r="H275" s="72"/>
      <c r="I275" s="211">
        <f t="shared" ref="I275:I282" si="27">IF(H275="",G275,H275)</f>
        <v>5000</v>
      </c>
      <c r="J275" s="244" t="s">
        <v>318</v>
      </c>
      <c r="K275" s="46"/>
      <c r="L275" s="73"/>
    </row>
    <row r="276" spans="2:12" ht="14.5">
      <c r="B276" s="38" t="str">
        <v>Aluminium</v>
      </c>
      <c r="C276" s="359"/>
      <c r="D276" s="360"/>
      <c r="E276" s="70"/>
      <c r="G276" s="209">
        <f>Scrap_aluminium_and_alloy_rate*kilograms_in_tonnes</f>
        <v>2500</v>
      </c>
      <c r="H276" s="72"/>
      <c r="I276" s="211">
        <f t="shared" si="27"/>
        <v>2500</v>
      </c>
      <c r="J276" s="244" t="s">
        <v>318</v>
      </c>
      <c r="K276" s="46"/>
      <c r="L276" s="73"/>
    </row>
    <row r="277" spans="2:12" ht="14.5">
      <c r="B277" s="38" t="str">
        <v>Lithium-iron-phosphate cells</v>
      </c>
      <c r="C277" s="359"/>
      <c r="D277" s="360"/>
      <c r="E277" s="70"/>
      <c r="G277" s="48">
        <v>0</v>
      </c>
      <c r="H277" s="72"/>
      <c r="I277" s="49">
        <f t="shared" si="27"/>
        <v>0</v>
      </c>
      <c r="J277" s="244" t="s">
        <v>318</v>
      </c>
      <c r="K277" s="46"/>
      <c r="L277" s="73"/>
    </row>
    <row r="278" spans="2:12" ht="14.5">
      <c r="B278" s="38" t="str">
        <v>Electronics</v>
      </c>
      <c r="C278" s="359"/>
      <c r="D278" s="360"/>
      <c r="E278" s="70"/>
      <c r="G278" s="86">
        <v>0</v>
      </c>
      <c r="H278" s="72"/>
      <c r="I278" s="49">
        <f t="shared" si="27"/>
        <v>0</v>
      </c>
      <c r="J278" s="244" t="s">
        <v>318</v>
      </c>
      <c r="K278" s="46"/>
      <c r="L278" s="73"/>
    </row>
    <row r="279" spans="2:12" ht="14.5">
      <c r="B279" s="38" t="str">
        <v>Plastics/polymers</v>
      </c>
      <c r="C279" s="359"/>
      <c r="D279" s="360"/>
      <c r="E279" s="70"/>
      <c r="G279" s="86">
        <v>0</v>
      </c>
      <c r="H279" s="72"/>
      <c r="I279" s="49">
        <f t="shared" si="27"/>
        <v>0</v>
      </c>
      <c r="J279" s="244" t="s">
        <v>318</v>
      </c>
      <c r="K279" s="46"/>
      <c r="L279" s="73"/>
    </row>
    <row r="280" spans="2:12" ht="14.5">
      <c r="B280" s="38" t="str">
        <v>Cooling fluids/misc. liquids</v>
      </c>
      <c r="C280" s="359"/>
      <c r="D280" s="360"/>
      <c r="E280" s="70"/>
      <c r="G280" s="86">
        <v>0</v>
      </c>
      <c r="H280" s="72"/>
      <c r="I280" s="49">
        <f t="shared" si="27"/>
        <v>0</v>
      </c>
      <c r="J280" s="244" t="s">
        <v>318</v>
      </c>
      <c r="K280" s="46"/>
      <c r="L280" s="73"/>
    </row>
    <row r="281" spans="2:12" ht="14.5">
      <c r="B281" s="38" t="str">
        <v>Glass/ceramics/insulation</v>
      </c>
      <c r="C281" s="359"/>
      <c r="D281" s="360"/>
      <c r="E281" s="70"/>
      <c r="G281" s="86">
        <v>0</v>
      </c>
      <c r="H281" s="72"/>
      <c r="I281" s="49">
        <f t="shared" si="27"/>
        <v>0</v>
      </c>
      <c r="J281" s="244" t="s">
        <v>318</v>
      </c>
      <c r="K281" s="46"/>
      <c r="L281" s="73"/>
    </row>
    <row r="282" spans="2:12" ht="14.5">
      <c r="B282" s="38" t="str">
        <v>Other (paint, gaskets, fasteners)</v>
      </c>
      <c r="C282" s="359"/>
      <c r="D282" s="360"/>
      <c r="E282" s="70"/>
      <c r="G282" s="86">
        <v>0</v>
      </c>
      <c r="H282" s="72"/>
      <c r="I282" s="49">
        <f t="shared" si="27"/>
        <v>0</v>
      </c>
      <c r="J282" s="244" t="s">
        <v>318</v>
      </c>
      <c r="K282" s="46"/>
      <c r="L282" s="73"/>
    </row>
    <row r="283" spans="2:12">
      <c r="L283" s="73"/>
    </row>
    <row r="284" spans="2:12" ht="13">
      <c r="H284" s="270" t="s">
        <v>412</v>
      </c>
      <c r="I284" s="49">
        <f>IF(C15=0,0,K284/C15)</f>
        <v>0</v>
      </c>
      <c r="J284" s="271" t="s">
        <v>549</v>
      </c>
      <c r="K284" s="98">
        <f>SUM(K271:K283)</f>
        <v>0</v>
      </c>
      <c r="L284" s="73"/>
    </row>
  </sheetData>
  <sheetProtection algorithmName="SHA-512" hashValue="q2Gu5fOSv2JR8Q/LtPd3VEZqVlCgSlkrJSkgSWYJZukj+IyjvW9jD6XPgB+/yBtzsh+YHsUvYHjoYReJMmfSuA==" saltValue="EjxBtETxpiNxw/KJT3FNXA==" spinCount="100000" sheet="1" objects="1" scenarios="1" autoFilter="0"/>
  <phoneticPr fontId="8" type="noConversion"/>
  <dataValidations count="29">
    <dataValidation type="list" allowBlank="1" showInputMessage="1" showErrorMessage="1" sqref="E207" xr:uid="{00881755-E8F8-401D-9858-8E1918983063}">
      <formula1>Long_haul_names_concrete_UR</formula1>
    </dataValidation>
    <dataValidation type="list" allowBlank="1" showInputMessage="1" showErrorMessage="1" sqref="E217" xr:uid="{87887971-3755-466B-8DF9-99B17E27BC5D}">
      <formula1>Long_haul_names_steel_UR</formula1>
    </dataValidation>
    <dataValidation type="list" allowBlank="1" showInputMessage="1" showErrorMessage="1" sqref="E54 E46 E38" xr:uid="{430DC5C5-D05A-4983-8464-423AF32227C2}">
      <formula1>Long_haul_names_modules_UR</formula1>
    </dataValidation>
    <dataValidation type="list" allowBlank="1" showInputMessage="1" showErrorMessage="1" sqref="E180" xr:uid="{CC85E847-84B1-4509-A5F6-1D39A3255A97}">
      <formula1>Revegetation_names_UR</formula1>
    </dataValidation>
    <dataValidation type="list" allowBlank="1" showInputMessage="1" showErrorMessage="1" sqref="E148" xr:uid="{7FCD0BBF-C59C-4C7F-9748-70381A56C1A6}">
      <formula1>Load_haul_dump_growth_media_onsite_names_UR</formula1>
    </dataValidation>
    <dataValidation type="list" allowBlank="1" showInputMessage="1" showErrorMessage="1" sqref="E72:E89" xr:uid="{66B008B4-9DC4-497D-928E-CF321D02ADA6}">
      <formula1>Roads_tracks_laydown_list_UR</formula1>
    </dataValidation>
    <dataValidation type="list" allowBlank="1" showInputMessage="1" showErrorMessage="1" sqref="E121 E131" xr:uid="{0221FEA2-95F3-4827-A744-B07F33C13B36}">
      <formula1>Buildings_by_area_names_UR</formula1>
    </dataValidation>
    <dataValidation type="list" allowBlank="1" showInputMessage="1" showErrorMessage="1" sqref="E165" xr:uid="{03595380-051A-4EFD-B4D2-2CEA869D0EF4}">
      <formula1>Ameliorants_names</formula1>
    </dataValidation>
    <dataValidation type="list" allowBlank="1" showInputMessage="1" showErrorMessage="1" sqref="E209 E219 E229" xr:uid="{44282BEE-2DF4-4A4A-8E65-27707B13FAF3}">
      <formula1>Waste_levy_names</formula1>
    </dataValidation>
    <dataValidation type="list" allowBlank="1" showInputMessage="1" showErrorMessage="1" sqref="E150 E166 E227" xr:uid="{01EE02B9-7B4E-45F6-94F3-16CFC4158D2B}">
      <formula1>Load_haul_dump_soil_ameliorants_from_off_site_names_UR</formula1>
    </dataValidation>
    <dataValidation type="list" allowBlank="1" showInputMessage="1" showErrorMessage="1" sqref="C14" xr:uid="{76246443-EFDB-4C37-BF0B-763832C4C4E8}">
      <formula1>Electrolyser_models</formula1>
    </dataValidation>
    <dataValidation type="custom" allowBlank="1" showInputMessage="1" showErrorMessage="1" error="Please enter a numeric value." sqref="C11:C13 C27:C29 C35:C37 C235:C237" xr:uid="{F0834758-DE95-438B-9258-B53B44BDACFD}">
      <formula1>ISNUMBER(C11:C13)</formula1>
    </dataValidation>
    <dataValidation type="custom" allowBlank="1" showInputMessage="1" showErrorMessage="1" error="Please enter a numeric value." sqref="C15:C16 C44:C45 C109:C110" xr:uid="{DBEEFD92-6CEB-4D67-9749-01ECEA6075B7}">
      <formula1>ISNUMBER(C15:C16)</formula1>
    </dataValidation>
    <dataValidation type="custom" allowBlank="1" showInputMessage="1" showErrorMessage="1" error="Please enter a numeric value." sqref="C20:C21 C52 C205 C215 C225 H274:H282 H27:H29 H35:H38 H45:H46 H52 H54 H60:H66 H72:H89 H95:H103 H109:H110 H264:H266 H20:H21 H148:H150 H165:H167 H180 H196:H198 H207:H209 H217:H219 H227:H229 H235:H237 H243:H247 H253:H258" xr:uid="{7EDE0F83-7B30-42DE-8D95-20B47D45C3C7}">
      <formula1>ISNUMBER(C20)</formula1>
    </dataValidation>
    <dataValidation type="custom" allowBlank="1" showInputMessage="1" showErrorMessage="1" error="Please enter a numeric value." sqref="C60:C66 C156:C162 C173:C179" xr:uid="{FA1DCF8F-98EA-43EF-A41B-830091E6C3FD}">
      <formula1>ISNUMBER(C60:C66)</formula1>
    </dataValidation>
    <dataValidation type="custom" allowBlank="1" showInputMessage="1" showErrorMessage="1" error="Please enter a numeric value." sqref="C72:C89" xr:uid="{D2D1C4AC-E668-4ACD-8837-A65A5FC0D34E}">
      <formula1>ISNUMBER(C72:C89)</formula1>
    </dataValidation>
    <dataValidation type="custom" allowBlank="1" showInputMessage="1" showErrorMessage="1" error="Please enter a numeric value." sqref="C95:C103 C187" xr:uid="{34D40BE5-E810-4774-BC11-0FE6571DE2F7}">
      <formula1>ISNUMBER(C95:C103)</formula1>
    </dataValidation>
    <dataValidation type="custom" allowBlank="1" showInputMessage="1" showErrorMessage="1" error="Please enter a numeric value." sqref="C116:C120 C126:C130 G278:G282 C243:C247 H126:H130 H116:H120" xr:uid="{7B56BAF9-B0D5-4964-AA01-349F31A8DDC2}">
      <formula1>ISNUMBER(C116:C120)</formula1>
    </dataValidation>
    <dataValidation type="custom" allowBlank="1" showInputMessage="1" showErrorMessage="1" error="Please enter a numeric value." sqref="C136:C147" xr:uid="{9C9DE503-0606-4072-B5F5-6708FF6D6F2B}">
      <formula1>ISNUMBER(C136:C147)</formula1>
    </dataValidation>
    <dataValidation type="custom" allowBlank="1" showInputMessage="1" showErrorMessage="1" error="Please enter a numeric value." sqref="C253:C258" xr:uid="{F72ECD72-810A-498E-8595-A4C244427A64}">
      <formula1>ISNUMBER(C253:C258)</formula1>
    </dataValidation>
    <dataValidation type="decimal" allowBlank="1" showInputMessage="1" showErrorMessage="1" error="Please enter a valid percentage." sqref="D264:D266" xr:uid="{99645164-CC33-4999-87E2-4B0A7F3A1327}">
      <formula1>0</formula1>
      <formula2>100</formula2>
    </dataValidation>
    <dataValidation type="custom" allowBlank="1" showInputMessage="1" showErrorMessage="1" error="Please enter a numeric value." sqref="C186" xr:uid="{655CBDF8-4D82-4BA4-B84D-334BFC0F9F20}">
      <formula1>ISNUMBER(C186:C193)</formula1>
    </dataValidation>
    <dataValidation type="custom" allowBlank="1" showInputMessage="1" showErrorMessage="1" error="Please enter a numeric value. " sqref="C194" xr:uid="{6AE7F521-0CD1-4E33-BCB8-7AA42716F3BA}">
      <formula1>ISNUMBER(C194:C208)</formula1>
    </dataValidation>
    <dataValidation type="custom" allowBlank="1" showInputMessage="1" showErrorMessage="1" error="Please enter a numeric value. " sqref="C192" xr:uid="{49F1E47E-604A-4DD6-A560-328CFC514F11}">
      <formula1>ISNUMBER(C192:C203)</formula1>
    </dataValidation>
    <dataValidation type="custom" allowBlank="1" showInputMessage="1" showErrorMessage="1" error="Please enter a numeric value." sqref="C188:C191" xr:uid="{8AE9E4E0-89D6-45D3-A1DA-65EA0C17A8FE}">
      <formula1>ISNUMBER(C188:C197)</formula1>
    </dataValidation>
    <dataValidation type="custom" allowBlank="1" showInputMessage="1" showErrorMessage="1" error="Please enter a numeric value." sqref="C193" xr:uid="{A746660C-78BF-4157-90D2-D1913D42E2FA}">
      <formula1>ISNUMBER(C193:C203)</formula1>
    </dataValidation>
    <dataValidation type="list" allowBlank="1" showInputMessage="1" showErrorMessage="1" sqref="E237" xr:uid="{71718973-D19B-4C64-B00D-369AFC6F6C0F}">
      <formula1>Mobe_names_land_CS</formula1>
    </dataValidation>
    <dataValidation type="list" allowBlank="1" showInputMessage="1" showErrorMessage="1" sqref="E235" xr:uid="{AD7E11B8-78BB-4842-8073-D577618D63F1}">
      <formula1>Mobe_names_BESS_CS</formula1>
    </dataValidation>
    <dataValidation type="list" allowBlank="1" showInputMessage="1" showErrorMessage="1" sqref="E236" xr:uid="{665B209D-106D-4237-81E4-72B87E800706}">
      <formula1>Mobe_names_electrical_CS</formula1>
    </dataValidation>
  </dataValidations>
  <hyperlinks>
    <hyperlink ref="B4" location="Information" display="Return to Information" xr:uid="{4185D871-761A-4419-A309-A04E25059E44}"/>
    <hyperlink ref="B6" location="Summary_green_H2" display="Summary Page" xr:uid="{32A797AE-0EF2-442A-80FC-BD2338E1E83B}"/>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7BEB2E2C-4FC3-4F72-9032-30227306A238}">
          <x14:formula1>
            <xm:f>'Cost Schedule'!$B$30:$B$34</xm:f>
          </x14:formula1>
          <xm:sqref>E116:E120</xm:sqref>
        </x14:dataValidation>
        <x14:dataValidation type="list" allowBlank="1" showInputMessage="1" showErrorMessage="1" xr:uid="{196B2179-CB35-4EA6-96DE-32B46E10A47F}">
          <x14:formula1>
            <xm:f>'Cost Schedule'!$B$6:$B$8</xm:f>
          </x14:formula1>
          <xm:sqref>E109:E110</xm:sqref>
        </x14:dataValidation>
        <x14:dataValidation type="list" allowBlank="1" showInputMessage="1" showErrorMessage="1" xr:uid="{52B7242D-3A1E-4B36-A943-CAC29EE8820F}">
          <x14:formula1>
            <xm:f>'Cost Schedule'!$B$222:$B$224</xm:f>
          </x14:formula1>
          <xm:sqref>E95:E103</xm:sqref>
        </x14:dataValidation>
        <x14:dataValidation type="list" allowBlank="1" showInputMessage="1" showErrorMessage="1" xr:uid="{1BB46925-A6D5-4A81-B473-33CD4BEED41E}">
          <x14:formula1>
            <xm:f>Lists!$B$33:$B$35</xm:f>
          </x14:formula1>
          <xm:sqref>F72:F89</xm:sqref>
        </x14:dataValidation>
        <x14:dataValidation type="list" allowBlank="1" showInputMessage="1" showErrorMessage="1" xr:uid="{DBF3B4E2-FA44-4A17-A5FD-ADCB7E9B708C}">
          <x14:formula1>
            <xm:f>Lists!$B$164:$B$166</xm:f>
          </x14:formula1>
          <xm:sqref>F95:F103 F109:F110</xm:sqref>
        </x14:dataValidation>
        <x14:dataValidation type="list" allowBlank="1" showInputMessage="1" showErrorMessage="1" xr:uid="{FBE9C969-0D36-4D23-9F7A-DAF51AD0B394}">
          <x14:formula1>
            <xm:f>'Cost Schedule'!$B$43:$B$45</xm:f>
          </x14:formula1>
          <xm:sqref>E197</xm:sqref>
        </x14:dataValidation>
        <x14:dataValidation type="list" allowBlank="1" showInputMessage="1" showErrorMessage="1" xr:uid="{7792BBAB-911F-4562-A737-2C6830944E9A}">
          <x14:formula1>
            <xm:f>'Cost Schedule'!$B$246:$B$256</xm:f>
          </x14:formula1>
          <xm:sqref>E198 E196</xm:sqref>
        </x14:dataValidation>
        <x14:dataValidation type="list" allowBlank="1" showInputMessage="1" showErrorMessage="1" xr:uid="{2036D7DF-18F6-460A-935D-65CD7F2C6F3B}">
          <x14:formula1>
            <xm:f>'Cost Schedule'!$B$37:$B$40</xm:f>
          </x14:formula1>
          <xm:sqref>E126:E130</xm:sqref>
        </x14:dataValidation>
        <x14:dataValidation type="list" allowBlank="1" showInputMessage="1" showErrorMessage="1" xr:uid="{56981CF9-C598-47D8-9044-FD901B8A53FC}">
          <x14:formula1>
            <xm:f>Rates!$B$114:$B$115</xm:f>
          </x14:formula1>
          <xm:sqref>E228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E82C-5916-4FF9-80AE-26640FBF12A1}">
  <sheetPr codeName="Sheet10">
    <tabColor theme="4" tint="0.59999389629810485"/>
  </sheetPr>
  <dimension ref="A2:G458"/>
  <sheetViews>
    <sheetView showGridLines="0" zoomScaleNormal="100" workbookViewId="0">
      <pane ySplit="4" topLeftCell="A5" activePane="bottomLeft" state="frozen"/>
      <selection pane="bottomLeft"/>
    </sheetView>
  </sheetViews>
  <sheetFormatPr defaultColWidth="8.7265625" defaultRowHeight="12.5"/>
  <cols>
    <col min="1" max="1" width="6.08984375" style="244" customWidth="1"/>
    <col min="2" max="2" width="92.81640625" style="244" customWidth="1"/>
    <col min="3" max="3" width="12.54296875" style="244" bestFit="1" customWidth="1"/>
    <col min="4" max="4" width="12" style="244" customWidth="1"/>
    <col min="5" max="5" width="65.81640625" style="361" customWidth="1"/>
    <col min="6" max="6" width="115.1796875" style="361" customWidth="1"/>
    <col min="7" max="7" width="10.1796875" style="244" customWidth="1"/>
    <col min="8" max="16384" width="8.7265625" style="244"/>
  </cols>
  <sheetData>
    <row r="2" spans="1:6" ht="13">
      <c r="B2" s="243" t="str">
        <f>Project_Name</f>
        <v xml:space="preserve">South Australia Hydrogen and Renewable Energy Restoration Cost Estimation Tool </v>
      </c>
    </row>
    <row r="3" spans="1:6">
      <c r="B3" s="5" t="s">
        <v>47</v>
      </c>
    </row>
    <row r="4" spans="1:6" ht="13">
      <c r="B4" s="362" t="s">
        <v>23</v>
      </c>
      <c r="C4" s="242"/>
      <c r="D4" s="242"/>
      <c r="E4" s="363" t="s">
        <v>620</v>
      </c>
      <c r="F4" s="363" t="s">
        <v>621</v>
      </c>
    </row>
    <row r="5" spans="1:6" ht="13">
      <c r="B5" s="364" t="s">
        <v>256</v>
      </c>
      <c r="C5" s="365"/>
      <c r="D5" s="365"/>
      <c r="E5" s="366"/>
      <c r="F5" s="366"/>
    </row>
    <row r="6" spans="1:6" ht="29.15" customHeight="1">
      <c r="A6" s="244" t="s">
        <v>226</v>
      </c>
      <c r="B6" s="15" t="s">
        <v>260</v>
      </c>
      <c r="C6" s="36">
        <v>1701.191290525667</v>
      </c>
      <c r="D6" s="244" t="s">
        <v>1328</v>
      </c>
      <c r="E6" s="2" t="s">
        <v>1372</v>
      </c>
      <c r="F6" s="213" t="s">
        <v>1373</v>
      </c>
    </row>
    <row r="7" spans="1:6" ht="29.15" customHeight="1">
      <c r="A7" s="244" t="s">
        <v>226</v>
      </c>
      <c r="B7" s="15" t="s">
        <v>258</v>
      </c>
      <c r="C7" s="36">
        <v>17563.468795765948</v>
      </c>
      <c r="D7" s="244" t="s">
        <v>1328</v>
      </c>
      <c r="E7" s="2" t="s">
        <v>1372</v>
      </c>
      <c r="F7" s="213" t="s">
        <v>1373</v>
      </c>
    </row>
    <row r="8" spans="1:6" ht="29.15" customHeight="1">
      <c r="A8" s="244" t="s">
        <v>226</v>
      </c>
      <c r="B8" s="15" t="s">
        <v>1343</v>
      </c>
      <c r="C8" s="36">
        <v>28969.7125801927</v>
      </c>
      <c r="D8" s="244" t="s">
        <v>1328</v>
      </c>
      <c r="E8" s="2" t="s">
        <v>1372</v>
      </c>
      <c r="F8" s="213" t="s">
        <v>1373</v>
      </c>
    </row>
    <row r="9" spans="1:6" ht="29.15" customHeight="1">
      <c r="A9" s="244" t="s">
        <v>215</v>
      </c>
      <c r="B9" s="15" t="s">
        <v>260</v>
      </c>
      <c r="C9" s="36">
        <v>10985.026555463433</v>
      </c>
      <c r="D9" s="244" t="s">
        <v>1328</v>
      </c>
      <c r="E9" s="2" t="s">
        <v>1374</v>
      </c>
      <c r="F9" s="2" t="s">
        <v>1375</v>
      </c>
    </row>
    <row r="10" spans="1:6" ht="29.15" customHeight="1">
      <c r="A10" s="244" t="s">
        <v>215</v>
      </c>
      <c r="B10" s="15" t="s">
        <v>258</v>
      </c>
      <c r="C10" s="36">
        <v>26847.304060703715</v>
      </c>
      <c r="D10" s="244" t="s">
        <v>1328</v>
      </c>
      <c r="E10" s="2" t="s">
        <v>1374</v>
      </c>
      <c r="F10" s="2" t="s">
        <v>1375</v>
      </c>
    </row>
    <row r="11" spans="1:6" ht="29.15" customHeight="1">
      <c r="A11" s="244" t="s">
        <v>215</v>
      </c>
      <c r="B11" s="15" t="s">
        <v>1343</v>
      </c>
      <c r="C11" s="36">
        <v>38253.547845130466</v>
      </c>
      <c r="D11" s="244" t="s">
        <v>1328</v>
      </c>
      <c r="E11" s="2" t="s">
        <v>1374</v>
      </c>
      <c r="F11" s="2" t="s">
        <v>1375</v>
      </c>
    </row>
    <row r="12" spans="1:6" ht="30" customHeight="1">
      <c r="A12" s="244" t="s">
        <v>217</v>
      </c>
      <c r="B12" s="15" t="s">
        <v>260</v>
      </c>
      <c r="C12" s="36">
        <v>14555.026555463435</v>
      </c>
      <c r="D12" s="244" t="s">
        <v>1328</v>
      </c>
      <c r="E12" s="2" t="s">
        <v>1376</v>
      </c>
      <c r="F12" s="2" t="s">
        <v>1377</v>
      </c>
    </row>
    <row r="13" spans="1:6" ht="30" customHeight="1">
      <c r="A13" s="244" t="s">
        <v>217</v>
      </c>
      <c r="B13" s="15" t="s">
        <v>258</v>
      </c>
      <c r="C13" s="36">
        <v>30417.304060703718</v>
      </c>
      <c r="D13" s="244" t="s">
        <v>1328</v>
      </c>
      <c r="E13" s="2" t="s">
        <v>1376</v>
      </c>
      <c r="F13" s="2" t="s">
        <v>1377</v>
      </c>
    </row>
    <row r="14" spans="1:6" ht="30" customHeight="1">
      <c r="A14" s="244" t="s">
        <v>217</v>
      </c>
      <c r="B14" s="15" t="s">
        <v>1343</v>
      </c>
      <c r="C14" s="36">
        <v>41823.547845130466</v>
      </c>
      <c r="D14" s="244" t="s">
        <v>1328</v>
      </c>
      <c r="E14" s="2" t="s">
        <v>1376</v>
      </c>
      <c r="F14" s="2" t="s">
        <v>1377</v>
      </c>
    </row>
    <row r="16" spans="1:6" ht="13">
      <c r="B16" s="364" t="s">
        <v>622</v>
      </c>
      <c r="C16" s="365"/>
      <c r="D16" s="365"/>
      <c r="E16" s="367"/>
      <c r="F16" s="367"/>
    </row>
    <row r="17" spans="2:6" ht="20.149999999999999" customHeight="1">
      <c r="B17" s="15" t="s">
        <v>319</v>
      </c>
      <c r="C17" s="208">
        <v>2494.1763427996943</v>
      </c>
      <c r="D17" s="244" t="s">
        <v>135</v>
      </c>
      <c r="E17" s="2" t="s">
        <v>1378</v>
      </c>
      <c r="F17" s="2" t="s">
        <v>1379</v>
      </c>
    </row>
    <row r="18" spans="2:6" ht="20.149999999999999" customHeight="1">
      <c r="B18" s="15" t="s">
        <v>558</v>
      </c>
      <c r="C18" s="208">
        <v>2494.1763427996943</v>
      </c>
      <c r="D18" s="244" t="s">
        <v>135</v>
      </c>
      <c r="E18" s="2" t="s">
        <v>1380</v>
      </c>
      <c r="F18" s="2" t="s">
        <v>1379</v>
      </c>
    </row>
    <row r="20" spans="2:6" ht="13">
      <c r="B20" s="364" t="s">
        <v>19</v>
      </c>
      <c r="C20" s="365"/>
      <c r="D20" s="365"/>
      <c r="E20" s="367"/>
      <c r="F20" s="367"/>
    </row>
    <row r="21" spans="2:6" ht="20.149999999999999" customHeight="1">
      <c r="B21" s="111" t="s">
        <v>1303</v>
      </c>
      <c r="C21" s="208">
        <v>275.83448675089659</v>
      </c>
      <c r="D21" s="244" t="s">
        <v>1294</v>
      </c>
      <c r="E21" s="2" t="s">
        <v>623</v>
      </c>
      <c r="F21" s="2" t="s">
        <v>1381</v>
      </c>
    </row>
    <row r="22" spans="2:6" ht="20.149999999999999" customHeight="1">
      <c r="B22" s="111" t="s">
        <v>547</v>
      </c>
      <c r="C22" s="208">
        <v>4385.1794700358641</v>
      </c>
      <c r="D22" s="244" t="s">
        <v>1301</v>
      </c>
      <c r="E22" s="2" t="s">
        <v>624</v>
      </c>
      <c r="F22" s="2" t="s">
        <v>1382</v>
      </c>
    </row>
    <row r="23" spans="2:6" ht="30" customHeight="1">
      <c r="B23" s="111" t="s">
        <v>1304</v>
      </c>
      <c r="C23" s="36">
        <v>200.88000000000002</v>
      </c>
      <c r="D23" s="244" t="s">
        <v>1302</v>
      </c>
      <c r="E23" s="2" t="s">
        <v>625</v>
      </c>
      <c r="F23" s="2" t="s">
        <v>1383</v>
      </c>
    </row>
    <row r="24" spans="2:6" ht="30" customHeight="1">
      <c r="B24" s="111" t="s">
        <v>543</v>
      </c>
      <c r="C24" s="208">
        <v>3850.6916570549797</v>
      </c>
      <c r="D24" s="244" t="s">
        <v>1301</v>
      </c>
      <c r="E24" s="2" t="s">
        <v>626</v>
      </c>
      <c r="F24" s="2" t="s">
        <v>1384</v>
      </c>
    </row>
    <row r="25" spans="2:6" ht="30" customHeight="1">
      <c r="B25" s="111" t="s">
        <v>544</v>
      </c>
      <c r="C25" s="208">
        <v>1472.4149313572434</v>
      </c>
      <c r="D25" s="244" t="s">
        <v>1301</v>
      </c>
      <c r="E25" s="2" t="s">
        <v>626</v>
      </c>
      <c r="F25" s="2" t="s">
        <v>1385</v>
      </c>
    </row>
    <row r="26" spans="2:6" ht="30" customHeight="1">
      <c r="B26" s="111" t="s">
        <v>1344</v>
      </c>
      <c r="C26" s="36">
        <v>2832.9667608686314</v>
      </c>
      <c r="D26" s="244" t="s">
        <v>627</v>
      </c>
      <c r="E26" s="2" t="s">
        <v>628</v>
      </c>
      <c r="F26" s="2" t="s">
        <v>1386</v>
      </c>
    </row>
    <row r="27" spans="2:6" ht="30" customHeight="1">
      <c r="B27" s="111" t="s">
        <v>1347</v>
      </c>
      <c r="C27" s="36">
        <v>3564.9167608686321</v>
      </c>
      <c r="D27" s="244" t="s">
        <v>627</v>
      </c>
      <c r="E27" s="2" t="s">
        <v>629</v>
      </c>
      <c r="F27" s="2" t="s">
        <v>1386</v>
      </c>
    </row>
    <row r="29" spans="2:6" ht="13">
      <c r="B29" s="364" t="s">
        <v>630</v>
      </c>
      <c r="C29" s="365"/>
      <c r="D29" s="365"/>
      <c r="E29" s="367"/>
      <c r="F29" s="367"/>
    </row>
    <row r="30" spans="2:6" ht="50.15" customHeight="1">
      <c r="B30" s="15" t="s">
        <v>265</v>
      </c>
      <c r="C30" s="110">
        <v>130.34119174820927</v>
      </c>
      <c r="D30" s="244" t="s">
        <v>274</v>
      </c>
      <c r="E30" s="2" t="s">
        <v>631</v>
      </c>
      <c r="F30" s="2" t="s">
        <v>1387</v>
      </c>
    </row>
    <row r="31" spans="2:6" ht="50.15" customHeight="1">
      <c r="B31" s="15" t="s">
        <v>267</v>
      </c>
      <c r="C31" s="110">
        <v>65.831315749844336</v>
      </c>
      <c r="D31" s="244" t="s">
        <v>274</v>
      </c>
      <c r="E31" s="2" t="s">
        <v>631</v>
      </c>
      <c r="F31" s="2" t="s">
        <v>1388</v>
      </c>
    </row>
    <row r="32" spans="2:6" ht="50.15" customHeight="1">
      <c r="B32" s="15" t="s">
        <v>271</v>
      </c>
      <c r="C32" s="110">
        <v>182.24173485583563</v>
      </c>
      <c r="D32" s="244" t="s">
        <v>274</v>
      </c>
      <c r="E32" s="2" t="s">
        <v>631</v>
      </c>
      <c r="F32" s="2" t="s">
        <v>1389</v>
      </c>
    </row>
    <row r="33" spans="2:6" ht="50.15" customHeight="1">
      <c r="B33" s="15" t="s">
        <v>269</v>
      </c>
      <c r="C33" s="110">
        <v>57.775533127992965</v>
      </c>
      <c r="D33" s="244" t="s">
        <v>274</v>
      </c>
      <c r="E33" s="2" t="s">
        <v>631</v>
      </c>
      <c r="F33" s="2" t="s">
        <v>1390</v>
      </c>
    </row>
    <row r="34" spans="2:6" ht="50.15" customHeight="1">
      <c r="B34" s="15" t="s">
        <v>273</v>
      </c>
      <c r="C34" s="110">
        <v>57.05767457349878</v>
      </c>
      <c r="D34" s="244" t="s">
        <v>1334</v>
      </c>
      <c r="E34" s="2" t="s">
        <v>632</v>
      </c>
      <c r="F34" s="2" t="s">
        <v>1391</v>
      </c>
    </row>
    <row r="35" spans="2:6" s="219" customFormat="1">
      <c r="E35" s="368"/>
      <c r="F35" s="368"/>
    </row>
    <row r="36" spans="2:6" ht="14.5" customHeight="1">
      <c r="B36" s="364" t="s">
        <v>633</v>
      </c>
      <c r="C36" s="365"/>
      <c r="D36" s="365"/>
      <c r="E36" s="367"/>
      <c r="F36" s="367"/>
    </row>
    <row r="37" spans="2:6" ht="30" customHeight="1">
      <c r="B37" s="15" t="s">
        <v>279</v>
      </c>
      <c r="C37" s="208">
        <v>1883.512891943768</v>
      </c>
      <c r="D37" s="244" t="s">
        <v>1333</v>
      </c>
      <c r="E37" s="2" t="s">
        <v>634</v>
      </c>
      <c r="F37" s="2" t="s">
        <v>1335</v>
      </c>
    </row>
    <row r="38" spans="2:6" ht="30" customHeight="1">
      <c r="B38" s="15" t="s">
        <v>281</v>
      </c>
      <c r="C38" s="208">
        <v>1243.9588072170536</v>
      </c>
      <c r="D38" s="244" t="s">
        <v>1333</v>
      </c>
      <c r="E38" s="2" t="s">
        <v>634</v>
      </c>
      <c r="F38" s="2" t="s">
        <v>1335</v>
      </c>
    </row>
    <row r="39" spans="2:6" ht="30" customHeight="1">
      <c r="B39" s="15" t="s">
        <v>283</v>
      </c>
      <c r="C39" s="208">
        <v>10251.77359535745</v>
      </c>
      <c r="D39" s="244" t="s">
        <v>1333</v>
      </c>
      <c r="E39" s="2" t="s">
        <v>634</v>
      </c>
      <c r="F39" s="2" t="s">
        <v>1392</v>
      </c>
    </row>
    <row r="40" spans="2:6" ht="30" customHeight="1">
      <c r="B40" s="15" t="s">
        <v>285</v>
      </c>
      <c r="C40" s="208">
        <v>7015.0882772529176</v>
      </c>
      <c r="D40" s="244" t="s">
        <v>1333</v>
      </c>
      <c r="E40" s="2" t="s">
        <v>634</v>
      </c>
      <c r="F40" s="2" t="s">
        <v>1393</v>
      </c>
    </row>
    <row r="41" spans="2:6">
      <c r="E41" s="244"/>
    </row>
    <row r="42" spans="2:6" ht="13">
      <c r="B42" s="364" t="s">
        <v>635</v>
      </c>
      <c r="C42" s="365"/>
      <c r="D42" s="365"/>
      <c r="E42" s="367"/>
      <c r="F42" s="367"/>
    </row>
    <row r="43" spans="2:6" ht="50.15" customHeight="1">
      <c r="B43" s="112" t="s">
        <v>357</v>
      </c>
      <c r="C43" s="110">
        <v>11.347499195327906</v>
      </c>
      <c r="D43" s="244" t="s">
        <v>636</v>
      </c>
      <c r="E43" s="2" t="s">
        <v>637</v>
      </c>
      <c r="F43" s="2" t="s">
        <v>1394</v>
      </c>
    </row>
    <row r="44" spans="2:6" ht="50.15" customHeight="1">
      <c r="B44" s="112" t="s">
        <v>567</v>
      </c>
      <c r="C44" s="110">
        <v>17.021248792991859</v>
      </c>
      <c r="D44" s="244" t="s">
        <v>636</v>
      </c>
      <c r="E44" s="2" t="s">
        <v>637</v>
      </c>
      <c r="F44" s="2" t="s">
        <v>1395</v>
      </c>
    </row>
    <row r="45" spans="2:6" ht="50.15" customHeight="1">
      <c r="B45" s="112" t="s">
        <v>1348</v>
      </c>
      <c r="C45" s="110">
        <v>22.694998390655812</v>
      </c>
      <c r="D45" s="244" t="s">
        <v>636</v>
      </c>
      <c r="E45" s="2" t="s">
        <v>637</v>
      </c>
      <c r="F45" s="2" t="s">
        <v>1396</v>
      </c>
    </row>
    <row r="47" spans="2:6" ht="13">
      <c r="B47" s="364" t="s">
        <v>638</v>
      </c>
      <c r="C47" s="365"/>
      <c r="D47" s="365"/>
      <c r="E47" s="367"/>
      <c r="F47" s="367"/>
    </row>
    <row r="48" spans="2:6" ht="20.149999999999999" customHeight="1">
      <c r="B48" s="112" t="s">
        <v>1330</v>
      </c>
      <c r="C48" s="36">
        <v>100000</v>
      </c>
      <c r="D48" s="244" t="s">
        <v>581</v>
      </c>
      <c r="E48" s="2" t="s">
        <v>639</v>
      </c>
      <c r="F48" s="2" t="s">
        <v>640</v>
      </c>
    </row>
    <row r="49" spans="2:6" ht="20.149999999999999" customHeight="1">
      <c r="B49" s="112" t="s">
        <v>1331</v>
      </c>
      <c r="C49" s="36">
        <v>250000</v>
      </c>
      <c r="D49" s="244" t="s">
        <v>581</v>
      </c>
      <c r="E49" s="2" t="s">
        <v>639</v>
      </c>
      <c r="F49" s="2" t="s">
        <v>640</v>
      </c>
    </row>
    <row r="50" spans="2:6" ht="20.149999999999999" customHeight="1">
      <c r="B50" s="112" t="s">
        <v>1332</v>
      </c>
      <c r="C50" s="36">
        <v>500000</v>
      </c>
      <c r="D50" s="244" t="s">
        <v>581</v>
      </c>
      <c r="E50" s="2" t="s">
        <v>639</v>
      </c>
      <c r="F50" s="2" t="s">
        <v>640</v>
      </c>
    </row>
    <row r="52" spans="2:6" ht="13">
      <c r="B52" s="364" t="s">
        <v>641</v>
      </c>
      <c r="C52" s="369"/>
      <c r="D52" s="365"/>
      <c r="E52" s="366"/>
      <c r="F52" s="366"/>
    </row>
    <row r="53" spans="2:6" ht="20.149999999999999" customHeight="1">
      <c r="B53" s="15" t="s">
        <v>1336</v>
      </c>
      <c r="C53" s="36">
        <v>37164.617880143458</v>
      </c>
      <c r="D53" s="244" t="s">
        <v>1339</v>
      </c>
      <c r="E53" s="2" t="s">
        <v>642</v>
      </c>
      <c r="F53" s="2" t="s">
        <v>643</v>
      </c>
    </row>
    <row r="54" spans="2:6" ht="20.149999999999999" customHeight="1">
      <c r="B54" s="15" t="s">
        <v>1337</v>
      </c>
      <c r="C54" s="36">
        <v>1092.2287350179317</v>
      </c>
      <c r="D54" s="244" t="s">
        <v>1339</v>
      </c>
      <c r="E54" s="2" t="s">
        <v>644</v>
      </c>
      <c r="F54" s="2" t="s">
        <v>643</v>
      </c>
    </row>
    <row r="55" spans="2:6" ht="20.149999999999999" customHeight="1">
      <c r="B55" s="15" t="s">
        <v>1338</v>
      </c>
      <c r="C55" s="36">
        <v>2032.8097350179319</v>
      </c>
      <c r="D55" s="244" t="s">
        <v>1339</v>
      </c>
      <c r="E55" s="2" t="s">
        <v>645</v>
      </c>
      <c r="F55" s="2" t="s">
        <v>643</v>
      </c>
    </row>
    <row r="56" spans="2:6" ht="20.149999999999999" customHeight="1">
      <c r="B56" s="15" t="s">
        <v>1315</v>
      </c>
      <c r="C56" s="36">
        <v>416.27249999999998</v>
      </c>
      <c r="D56" s="244" t="s">
        <v>82</v>
      </c>
      <c r="E56" s="2" t="s">
        <v>646</v>
      </c>
      <c r="F56" s="2" t="s">
        <v>647</v>
      </c>
    </row>
    <row r="58" spans="2:6" ht="13">
      <c r="B58" s="364" t="s">
        <v>648</v>
      </c>
      <c r="C58" s="365"/>
      <c r="D58" s="365"/>
      <c r="E58" s="367"/>
      <c r="F58" s="367"/>
    </row>
    <row r="59" spans="2:6" ht="20.149999999999999" customHeight="1">
      <c r="B59" s="113" t="s">
        <v>156</v>
      </c>
      <c r="C59" s="36">
        <v>3263.448675089659</v>
      </c>
      <c r="D59" s="370" t="s">
        <v>155</v>
      </c>
      <c r="E59" s="2" t="s">
        <v>649</v>
      </c>
      <c r="F59" s="2" t="s">
        <v>1397</v>
      </c>
    </row>
    <row r="60" spans="2:6" ht="20.149999999999999" customHeight="1">
      <c r="B60" s="113" t="s">
        <v>157</v>
      </c>
      <c r="C60" s="36">
        <v>3263.448675089659</v>
      </c>
      <c r="D60" s="370" t="s">
        <v>155</v>
      </c>
      <c r="E60" s="2" t="s">
        <v>649</v>
      </c>
      <c r="F60" s="2" t="s">
        <v>1397</v>
      </c>
    </row>
    <row r="61" spans="2:6" ht="20.149999999999999" customHeight="1">
      <c r="B61" s="113" t="s">
        <v>1309</v>
      </c>
      <c r="C61" s="36">
        <v>3263.448675089659</v>
      </c>
      <c r="D61" s="370" t="s">
        <v>155</v>
      </c>
      <c r="E61" s="2" t="s">
        <v>649</v>
      </c>
      <c r="F61" s="2" t="s">
        <v>1397</v>
      </c>
    </row>
    <row r="62" spans="2:6" ht="20.149999999999999" customHeight="1">
      <c r="B62" s="113" t="s">
        <v>1398</v>
      </c>
      <c r="C62" s="36">
        <v>3451.6632667463637</v>
      </c>
      <c r="D62" s="370" t="s">
        <v>155</v>
      </c>
      <c r="E62" s="2" t="s">
        <v>649</v>
      </c>
      <c r="F62" s="2" t="s">
        <v>1399</v>
      </c>
    </row>
    <row r="63" spans="2:6" ht="20.149999999999999" customHeight="1">
      <c r="B63" s="113" t="s">
        <v>1400</v>
      </c>
      <c r="C63" s="36">
        <v>3451.6632667463637</v>
      </c>
      <c r="D63" s="370" t="s">
        <v>155</v>
      </c>
      <c r="E63" s="2" t="s">
        <v>649</v>
      </c>
      <c r="F63" s="2" t="s">
        <v>1399</v>
      </c>
    </row>
    <row r="64" spans="2:6" ht="20.149999999999999" customHeight="1">
      <c r="B64" s="113" t="s">
        <v>159</v>
      </c>
      <c r="C64" s="36">
        <v>3451.6632667463637</v>
      </c>
      <c r="D64" s="370" t="s">
        <v>155</v>
      </c>
      <c r="E64" s="2" t="s">
        <v>649</v>
      </c>
      <c r="F64" s="2" t="s">
        <v>1399</v>
      </c>
    </row>
    <row r="65" spans="2:6" ht="20.149999999999999" customHeight="1">
      <c r="B65" s="113" t="s">
        <v>1401</v>
      </c>
      <c r="C65" s="36">
        <v>3451.6632667463637</v>
      </c>
      <c r="D65" s="370" t="s">
        <v>155</v>
      </c>
      <c r="E65" s="2" t="s">
        <v>649</v>
      </c>
      <c r="F65" s="2" t="s">
        <v>1399</v>
      </c>
    </row>
    <row r="66" spans="2:6" ht="20.149999999999999" customHeight="1">
      <c r="B66" s="113" t="s">
        <v>1402</v>
      </c>
      <c r="C66" s="36">
        <v>3451.6632667463637</v>
      </c>
      <c r="D66" s="370" t="s">
        <v>155</v>
      </c>
      <c r="E66" s="2" t="s">
        <v>649</v>
      </c>
      <c r="F66" s="2" t="s">
        <v>1399</v>
      </c>
    </row>
    <row r="67" spans="2:6" ht="20.149999999999999" customHeight="1">
      <c r="B67" s="113" t="s">
        <v>1403</v>
      </c>
      <c r="C67" s="36">
        <v>3451.6632667463637</v>
      </c>
      <c r="D67" s="370" t="s">
        <v>155</v>
      </c>
      <c r="E67" s="2" t="s">
        <v>649</v>
      </c>
      <c r="F67" s="2" t="s">
        <v>1399</v>
      </c>
    </row>
    <row r="68" spans="2:6" ht="20.149999999999999" customHeight="1">
      <c r="B68" s="113" t="s">
        <v>1404</v>
      </c>
      <c r="C68" s="36">
        <v>3624.2464300836818</v>
      </c>
      <c r="D68" s="370" t="s">
        <v>155</v>
      </c>
      <c r="E68" s="2" t="s">
        <v>649</v>
      </c>
      <c r="F68" s="2" t="s">
        <v>1399</v>
      </c>
    </row>
    <row r="69" spans="2:6" ht="20.149999999999999" customHeight="1">
      <c r="B69" s="113" t="s">
        <v>1405</v>
      </c>
      <c r="C69" s="36">
        <v>3624.2464300836818</v>
      </c>
      <c r="D69" s="370" t="s">
        <v>155</v>
      </c>
      <c r="E69" s="2" t="s">
        <v>649</v>
      </c>
      <c r="F69" s="2" t="s">
        <v>1399</v>
      </c>
    </row>
    <row r="70" spans="2:6" ht="20.149999999999999" customHeight="1">
      <c r="B70" s="113" t="s">
        <v>161</v>
      </c>
      <c r="C70" s="36">
        <v>3624.2464300836818</v>
      </c>
      <c r="D70" s="370" t="s">
        <v>155</v>
      </c>
      <c r="E70" s="2" t="s">
        <v>649</v>
      </c>
      <c r="F70" s="2" t="s">
        <v>1399</v>
      </c>
    </row>
    <row r="71" spans="2:6" ht="20.149999999999999" customHeight="1">
      <c r="B71" s="113" t="s">
        <v>1406</v>
      </c>
      <c r="C71" s="36">
        <v>3624.2464300836818</v>
      </c>
      <c r="D71" s="370" t="s">
        <v>155</v>
      </c>
      <c r="E71" s="2" t="s">
        <v>649</v>
      </c>
      <c r="F71" s="2" t="s">
        <v>1399</v>
      </c>
    </row>
    <row r="72" spans="2:6" ht="20.149999999999999" customHeight="1">
      <c r="B72" s="113" t="s">
        <v>1407</v>
      </c>
      <c r="C72" s="36">
        <v>3796.8295934210005</v>
      </c>
      <c r="D72" s="370" t="s">
        <v>155</v>
      </c>
      <c r="E72" s="2" t="s">
        <v>649</v>
      </c>
      <c r="F72" s="2" t="s">
        <v>1399</v>
      </c>
    </row>
    <row r="73" spans="2:6" ht="20.149999999999999" customHeight="1">
      <c r="B73" s="113" t="s">
        <v>1408</v>
      </c>
      <c r="C73" s="36">
        <v>3796.8295934210005</v>
      </c>
      <c r="D73" s="370" t="s">
        <v>155</v>
      </c>
      <c r="E73" s="2" t="s">
        <v>649</v>
      </c>
      <c r="F73" s="2" t="s">
        <v>1399</v>
      </c>
    </row>
    <row r="74" spans="2:6" ht="20.149999999999999" customHeight="1">
      <c r="B74" s="113" t="s">
        <v>1409</v>
      </c>
      <c r="C74" s="36">
        <v>3796.8295934210005</v>
      </c>
      <c r="D74" s="370" t="s">
        <v>155</v>
      </c>
      <c r="E74" s="2" t="s">
        <v>649</v>
      </c>
      <c r="F74" s="2" t="s">
        <v>1399</v>
      </c>
    </row>
    <row r="75" spans="2:6" ht="20.149999999999999" customHeight="1">
      <c r="B75" s="113" t="s">
        <v>162</v>
      </c>
      <c r="C75" s="36">
        <v>3796.8295934210005</v>
      </c>
      <c r="D75" s="370" t="s">
        <v>155</v>
      </c>
      <c r="E75" s="2" t="s">
        <v>649</v>
      </c>
      <c r="F75" s="2" t="s">
        <v>1399</v>
      </c>
    </row>
    <row r="76" spans="2:6" ht="20.149999999999999" customHeight="1">
      <c r="B76" s="113" t="s">
        <v>1410</v>
      </c>
      <c r="C76" s="36">
        <v>3451.6632667463637</v>
      </c>
      <c r="D76" s="370" t="s">
        <v>155</v>
      </c>
      <c r="E76" s="2" t="s">
        <v>649</v>
      </c>
      <c r="F76" s="2" t="s">
        <v>1399</v>
      </c>
    </row>
    <row r="77" spans="2:6" ht="20.149999999999999" customHeight="1">
      <c r="B77" s="113" t="s">
        <v>1411</v>
      </c>
      <c r="C77" s="36">
        <v>3451.6632667463637</v>
      </c>
      <c r="D77" s="370" t="s">
        <v>155</v>
      </c>
      <c r="E77" s="2" t="s">
        <v>649</v>
      </c>
      <c r="F77" s="2" t="s">
        <v>1399</v>
      </c>
    </row>
    <row r="78" spans="2:6" ht="20.149999999999999" customHeight="1">
      <c r="B78" s="113" t="s">
        <v>1412</v>
      </c>
      <c r="C78" s="36">
        <v>3451.6632667463637</v>
      </c>
      <c r="D78" s="370" t="s">
        <v>155</v>
      </c>
      <c r="E78" s="2" t="s">
        <v>649</v>
      </c>
      <c r="F78" s="2" t="s">
        <v>1399</v>
      </c>
    </row>
    <row r="79" spans="2:6" ht="20.149999999999999" customHeight="1">
      <c r="B79" s="113" t="s">
        <v>1413</v>
      </c>
      <c r="C79" s="36">
        <v>18232.484700358636</v>
      </c>
      <c r="D79" s="370" t="s">
        <v>155</v>
      </c>
      <c r="E79" s="2" t="s">
        <v>649</v>
      </c>
      <c r="F79" s="2" t="s">
        <v>1414</v>
      </c>
    </row>
    <row r="80" spans="2:6" ht="20.149999999999999" customHeight="1">
      <c r="B80" s="113" t="s">
        <v>1415</v>
      </c>
      <c r="C80" s="36">
        <v>18232.484700358636</v>
      </c>
      <c r="D80" s="370" t="s">
        <v>155</v>
      </c>
      <c r="E80" s="2" t="s">
        <v>649</v>
      </c>
      <c r="F80" s="2" t="s">
        <v>1414</v>
      </c>
    </row>
    <row r="81" spans="2:6" ht="20.149999999999999" customHeight="1">
      <c r="B81" s="113" t="s">
        <v>1416</v>
      </c>
      <c r="C81" s="36">
        <v>18232.484700358636</v>
      </c>
      <c r="D81" s="370" t="s">
        <v>155</v>
      </c>
      <c r="E81" s="2" t="s">
        <v>649</v>
      </c>
      <c r="F81" s="2" t="s">
        <v>1414</v>
      </c>
    </row>
    <row r="82" spans="2:6" ht="20.149999999999999" customHeight="1">
      <c r="B82" s="113" t="s">
        <v>1417</v>
      </c>
      <c r="C82" s="36">
        <v>18232.484700358636</v>
      </c>
      <c r="D82" s="370" t="s">
        <v>155</v>
      </c>
      <c r="E82" s="2" t="s">
        <v>649</v>
      </c>
      <c r="F82" s="2" t="s">
        <v>1414</v>
      </c>
    </row>
    <row r="83" spans="2:6" ht="20.149999999999999" customHeight="1">
      <c r="B83" s="113" t="s">
        <v>1418</v>
      </c>
      <c r="C83" s="36">
        <v>18232.484700358636</v>
      </c>
      <c r="D83" s="370" t="s">
        <v>155</v>
      </c>
      <c r="E83" s="2" t="s">
        <v>649</v>
      </c>
      <c r="F83" s="2" t="s">
        <v>1414</v>
      </c>
    </row>
    <row r="84" spans="2:6" ht="20.149999999999999" customHeight="1">
      <c r="B84" s="113" t="s">
        <v>1419</v>
      </c>
      <c r="C84" s="36">
        <v>18232.484700358636</v>
      </c>
      <c r="D84" s="370" t="s">
        <v>155</v>
      </c>
      <c r="E84" s="2" t="s">
        <v>649</v>
      </c>
      <c r="F84" s="2" t="s">
        <v>1414</v>
      </c>
    </row>
    <row r="85" spans="2:6" ht="20.149999999999999" customHeight="1">
      <c r="B85" s="113" t="s">
        <v>1420</v>
      </c>
      <c r="C85" s="36">
        <v>19144.108935376567</v>
      </c>
      <c r="D85" s="370" t="s">
        <v>155</v>
      </c>
      <c r="E85" s="2" t="s">
        <v>649</v>
      </c>
      <c r="F85" s="2" t="s">
        <v>1414</v>
      </c>
    </row>
    <row r="86" spans="2:6" ht="20.149999999999999" customHeight="1">
      <c r="B86" s="113" t="s">
        <v>1421</v>
      </c>
      <c r="C86" s="36">
        <v>19144.108935376567</v>
      </c>
      <c r="D86" s="370" t="s">
        <v>155</v>
      </c>
      <c r="E86" s="2" t="s">
        <v>649</v>
      </c>
      <c r="F86" s="2" t="s">
        <v>1414</v>
      </c>
    </row>
    <row r="87" spans="2:6" ht="20.149999999999999" customHeight="1">
      <c r="B87" s="113" t="s">
        <v>1422</v>
      </c>
      <c r="C87" s="36">
        <v>19144.108935376567</v>
      </c>
      <c r="D87" s="370" t="s">
        <v>155</v>
      </c>
      <c r="E87" s="2" t="s">
        <v>649</v>
      </c>
      <c r="F87" s="2" t="s">
        <v>1414</v>
      </c>
    </row>
    <row r="88" spans="2:6" ht="20.149999999999999" customHeight="1">
      <c r="B88" s="113" t="s">
        <v>1423</v>
      </c>
      <c r="C88" s="36">
        <v>19144.108935376567</v>
      </c>
      <c r="D88" s="370" t="s">
        <v>155</v>
      </c>
      <c r="E88" s="2" t="s">
        <v>649</v>
      </c>
      <c r="F88" s="2" t="s">
        <v>1414</v>
      </c>
    </row>
    <row r="89" spans="2:6" ht="20.149999999999999" customHeight="1">
      <c r="B89" s="113" t="s">
        <v>1424</v>
      </c>
      <c r="C89" s="36">
        <v>20055.733170394502</v>
      </c>
      <c r="D89" s="370" t="s">
        <v>155</v>
      </c>
      <c r="E89" s="2" t="s">
        <v>649</v>
      </c>
      <c r="F89" s="2" t="s">
        <v>1414</v>
      </c>
    </row>
    <row r="90" spans="2:6" ht="20.149999999999999" customHeight="1">
      <c r="B90" s="113" t="s">
        <v>1425</v>
      </c>
      <c r="C90" s="36">
        <v>20055.733170394502</v>
      </c>
      <c r="D90" s="370" t="s">
        <v>155</v>
      </c>
      <c r="E90" s="2" t="s">
        <v>649</v>
      </c>
      <c r="F90" s="2" t="s">
        <v>1414</v>
      </c>
    </row>
    <row r="91" spans="2:6" ht="20.149999999999999" customHeight="1">
      <c r="B91" s="113" t="s">
        <v>1426</v>
      </c>
      <c r="C91" s="36">
        <v>20055.733170394502</v>
      </c>
      <c r="D91" s="370" t="s">
        <v>155</v>
      </c>
      <c r="E91" s="2" t="s">
        <v>649</v>
      </c>
      <c r="F91" s="2" t="s">
        <v>1414</v>
      </c>
    </row>
    <row r="92" spans="2:6" ht="20.149999999999999" customHeight="1">
      <c r="B92" s="113" t="s">
        <v>1427</v>
      </c>
      <c r="C92" s="36">
        <v>20055.733170394502</v>
      </c>
      <c r="D92" s="370" t="s">
        <v>155</v>
      </c>
      <c r="E92" s="2" t="s">
        <v>649</v>
      </c>
      <c r="F92" s="2" t="s">
        <v>1414</v>
      </c>
    </row>
    <row r="93" spans="2:6" ht="20.149999999999999" customHeight="1">
      <c r="B93" s="113" t="s">
        <v>1428</v>
      </c>
      <c r="C93" s="36">
        <v>18232.484700358636</v>
      </c>
      <c r="D93" s="370" t="s">
        <v>155</v>
      </c>
      <c r="E93" s="2" t="s">
        <v>649</v>
      </c>
      <c r="F93" s="2" t="s">
        <v>1414</v>
      </c>
    </row>
    <row r="94" spans="2:6" ht="20.149999999999999" customHeight="1">
      <c r="B94" s="113" t="s">
        <v>1429</v>
      </c>
      <c r="C94" s="36">
        <v>18232.484700358636</v>
      </c>
      <c r="D94" s="370" t="s">
        <v>155</v>
      </c>
      <c r="E94" s="2" t="s">
        <v>649</v>
      </c>
      <c r="F94" s="2" t="s">
        <v>1414</v>
      </c>
    </row>
    <row r="95" spans="2:6" ht="20.149999999999999" customHeight="1">
      <c r="B95" s="113" t="s">
        <v>1430</v>
      </c>
      <c r="C95" s="36">
        <v>18232.484700358636</v>
      </c>
      <c r="D95" s="370" t="s">
        <v>155</v>
      </c>
      <c r="E95" s="2" t="s">
        <v>649</v>
      </c>
      <c r="F95" s="2" t="s">
        <v>1414</v>
      </c>
    </row>
    <row r="96" spans="2:6" ht="20.149999999999999" customHeight="1">
      <c r="B96" s="113" t="s">
        <v>164</v>
      </c>
      <c r="C96" s="36">
        <v>810.33265334927273</v>
      </c>
      <c r="D96" s="370" t="s">
        <v>155</v>
      </c>
      <c r="E96" s="2" t="s">
        <v>649</v>
      </c>
      <c r="F96" s="2" t="s">
        <v>1431</v>
      </c>
    </row>
    <row r="97" spans="2:6" ht="20.149999999999999" customHeight="1">
      <c r="B97" s="113" t="s">
        <v>165</v>
      </c>
      <c r="C97" s="36">
        <v>3646.4969400717273</v>
      </c>
      <c r="D97" s="370" t="s">
        <v>155</v>
      </c>
      <c r="E97" s="2" t="s">
        <v>649</v>
      </c>
      <c r="F97" s="2" t="s">
        <v>1432</v>
      </c>
    </row>
    <row r="98" spans="2:6" ht="20.149999999999999" customHeight="1">
      <c r="B98" s="113" t="s">
        <v>1306</v>
      </c>
      <c r="C98" s="36">
        <v>299.34486750896593</v>
      </c>
      <c r="D98" s="370" t="s">
        <v>155</v>
      </c>
      <c r="E98" s="2" t="s">
        <v>649</v>
      </c>
      <c r="F98" s="2" t="s">
        <v>1433</v>
      </c>
    </row>
    <row r="99" spans="2:6" ht="20.149999999999999" customHeight="1">
      <c r="B99" s="113" t="s">
        <v>1307</v>
      </c>
      <c r="C99" s="36">
        <v>12409.190512634488</v>
      </c>
      <c r="D99" s="370" t="s">
        <v>155</v>
      </c>
      <c r="E99" s="2" t="s">
        <v>649</v>
      </c>
      <c r="F99" s="2" t="s">
        <v>1434</v>
      </c>
    </row>
    <row r="100" spans="2:6" ht="20.149999999999999" customHeight="1">
      <c r="B100" s="113" t="s">
        <v>1308</v>
      </c>
      <c r="C100" s="36">
        <v>24818.381025268976</v>
      </c>
      <c r="D100" s="370" t="s">
        <v>155</v>
      </c>
      <c r="E100" s="2" t="s">
        <v>649</v>
      </c>
      <c r="F100" s="2" t="s">
        <v>1434</v>
      </c>
    </row>
    <row r="102" spans="2:6" ht="13">
      <c r="B102" s="364" t="s">
        <v>21</v>
      </c>
      <c r="C102" s="365"/>
      <c r="D102" s="365"/>
      <c r="E102" s="367"/>
      <c r="F102" s="367"/>
    </row>
    <row r="103" spans="2:6" ht="20.149999999999999" customHeight="1">
      <c r="B103" s="112" t="s">
        <v>1314</v>
      </c>
      <c r="C103" s="36">
        <v>18.8</v>
      </c>
      <c r="D103" s="244" t="s">
        <v>1293</v>
      </c>
      <c r="E103" s="2" t="s">
        <v>650</v>
      </c>
      <c r="F103" s="2" t="s">
        <v>1435</v>
      </c>
    </row>
    <row r="104" spans="2:6" ht="30" customHeight="1">
      <c r="B104" s="112" t="s">
        <v>1329</v>
      </c>
      <c r="C104" s="36">
        <v>7205.1178801434544</v>
      </c>
      <c r="D104" s="244" t="s">
        <v>651</v>
      </c>
      <c r="E104" s="2" t="s">
        <v>652</v>
      </c>
      <c r="F104" s="2" t="s">
        <v>1436</v>
      </c>
    </row>
    <row r="105" spans="2:6" ht="30" customHeight="1">
      <c r="B105" s="112" t="s">
        <v>1329</v>
      </c>
      <c r="C105" s="36">
        <v>12871.676820215182</v>
      </c>
      <c r="D105" s="244" t="s">
        <v>653</v>
      </c>
      <c r="E105" s="2" t="s">
        <v>652</v>
      </c>
      <c r="F105" s="2" t="s">
        <v>1437</v>
      </c>
    </row>
    <row r="106" spans="2:6" ht="30" customHeight="1">
      <c r="B106" s="112" t="s">
        <v>654</v>
      </c>
      <c r="C106" s="36">
        <v>10797.117880143454</v>
      </c>
      <c r="D106" s="244" t="s">
        <v>655</v>
      </c>
      <c r="E106" s="2" t="s">
        <v>656</v>
      </c>
      <c r="F106" s="2" t="s">
        <v>1437</v>
      </c>
    </row>
    <row r="107" spans="2:6" ht="30" customHeight="1">
      <c r="B107" s="112" t="s">
        <v>657</v>
      </c>
      <c r="C107" s="36">
        <v>8797.5978801434539</v>
      </c>
      <c r="D107" s="244" t="s">
        <v>658</v>
      </c>
      <c r="E107" s="2" t="s">
        <v>659</v>
      </c>
      <c r="F107" s="2" t="s">
        <v>1436</v>
      </c>
    </row>
    <row r="108" spans="2:6" ht="30" customHeight="1">
      <c r="B108" s="112" t="s">
        <v>1438</v>
      </c>
      <c r="C108" s="36">
        <v>5506.0574212851252</v>
      </c>
      <c r="D108" s="244" t="s">
        <v>604</v>
      </c>
      <c r="E108" s="2" t="s">
        <v>660</v>
      </c>
      <c r="F108" s="2" t="s">
        <v>1439</v>
      </c>
    </row>
    <row r="109" spans="2:6" ht="30" customHeight="1">
      <c r="B109" s="112" t="s">
        <v>1440</v>
      </c>
      <c r="C109" s="36">
        <v>6743.0323575575221</v>
      </c>
      <c r="D109" s="244" t="s">
        <v>604</v>
      </c>
      <c r="E109" s="2" t="s">
        <v>660</v>
      </c>
      <c r="F109" s="2" t="s">
        <v>1439</v>
      </c>
    </row>
    <row r="110" spans="2:6" ht="30" customHeight="1">
      <c r="B110" s="112" t="s">
        <v>1441</v>
      </c>
      <c r="C110" s="36">
        <v>13011.979685154376</v>
      </c>
      <c r="D110" s="244" t="s">
        <v>604</v>
      </c>
      <c r="E110" s="2" t="s">
        <v>660</v>
      </c>
      <c r="F110" s="2" t="s">
        <v>1439</v>
      </c>
    </row>
    <row r="111" spans="2:6" ht="30" customHeight="1">
      <c r="B111" s="112" t="s">
        <v>1442</v>
      </c>
      <c r="C111" s="36">
        <v>21820.215210299248</v>
      </c>
      <c r="D111" s="244" t="s">
        <v>604</v>
      </c>
      <c r="E111" s="2" t="s">
        <v>660</v>
      </c>
      <c r="F111" s="2" t="s">
        <v>1439</v>
      </c>
    </row>
    <row r="112" spans="2:6" ht="30" customHeight="1">
      <c r="B112" s="112" t="s">
        <v>1443</v>
      </c>
      <c r="C112" s="36">
        <v>37701.238958416448</v>
      </c>
      <c r="D112" s="244" t="s">
        <v>604</v>
      </c>
      <c r="E112" s="2" t="s">
        <v>660</v>
      </c>
      <c r="F112" s="2" t="s">
        <v>1439</v>
      </c>
    </row>
    <row r="113" spans="1:7" ht="30" customHeight="1">
      <c r="B113" s="112" t="s">
        <v>1444</v>
      </c>
      <c r="C113" s="36">
        <v>101302.27191565862</v>
      </c>
      <c r="D113" s="244" t="s">
        <v>604</v>
      </c>
      <c r="E113" s="2" t="s">
        <v>660</v>
      </c>
      <c r="F113" s="2" t="s">
        <v>1445</v>
      </c>
    </row>
    <row r="114" spans="1:7" ht="30" customHeight="1">
      <c r="B114" s="112" t="s">
        <v>1446</v>
      </c>
      <c r="C114" s="36">
        <v>222594.33534712845</v>
      </c>
      <c r="D114" s="244" t="s">
        <v>604</v>
      </c>
      <c r="E114" s="2" t="s">
        <v>660</v>
      </c>
      <c r="F114" s="2" t="s">
        <v>1445</v>
      </c>
    </row>
    <row r="116" spans="1:7" ht="13">
      <c r="B116" s="364" t="s">
        <v>661</v>
      </c>
      <c r="C116" s="365"/>
      <c r="D116" s="365"/>
      <c r="E116" s="366"/>
      <c r="F116" s="366"/>
    </row>
    <row r="117" spans="1:7" ht="30" customHeight="1">
      <c r="A117" s="244">
        <v>5</v>
      </c>
      <c r="B117" s="15" t="s">
        <v>1447</v>
      </c>
      <c r="C117" s="110">
        <v>0.40401017815412166</v>
      </c>
      <c r="D117" s="244" t="s">
        <v>1317</v>
      </c>
      <c r="E117" s="2" t="s">
        <v>662</v>
      </c>
      <c r="F117" s="2" t="s">
        <v>1448</v>
      </c>
      <c r="G117" s="244" cm="1">
        <f t="array" ref="G117:G135">Long_haul_distance_average_L</f>
        <v>2.5</v>
      </c>
    </row>
    <row r="118" spans="1:7" ht="30" customHeight="1">
      <c r="A118" s="244">
        <v>10</v>
      </c>
      <c r="B118" s="15" t="s">
        <v>1449</v>
      </c>
      <c r="C118" s="110">
        <v>0.22333481897960766</v>
      </c>
      <c r="D118" s="244" t="s">
        <v>1317</v>
      </c>
      <c r="E118" s="2" t="s">
        <v>662</v>
      </c>
      <c r="F118" s="2" t="s">
        <v>1448</v>
      </c>
      <c r="G118" s="244">
        <v>7.5</v>
      </c>
    </row>
    <row r="119" spans="1:7" ht="30" customHeight="1">
      <c r="A119" s="244">
        <v>15</v>
      </c>
      <c r="B119" s="15" t="s">
        <v>1450</v>
      </c>
      <c r="C119" s="110">
        <v>0.16310969925476962</v>
      </c>
      <c r="D119" s="244" t="s">
        <v>1317</v>
      </c>
      <c r="E119" s="2" t="s">
        <v>662</v>
      </c>
      <c r="F119" s="2" t="s">
        <v>1448</v>
      </c>
      <c r="G119" s="244">
        <v>12.5</v>
      </c>
    </row>
    <row r="120" spans="1:7" ht="30" customHeight="1">
      <c r="A120" s="244">
        <v>20</v>
      </c>
      <c r="B120" s="15" t="s">
        <v>1451</v>
      </c>
      <c r="C120" s="110">
        <v>0.13299713939235061</v>
      </c>
      <c r="D120" s="244" t="s">
        <v>1317</v>
      </c>
      <c r="E120" s="2" t="s">
        <v>662</v>
      </c>
      <c r="F120" s="2" t="s">
        <v>1448</v>
      </c>
      <c r="G120" s="244">
        <v>17.5</v>
      </c>
    </row>
    <row r="121" spans="1:7" ht="30" customHeight="1">
      <c r="A121" s="244">
        <v>25</v>
      </c>
      <c r="B121" s="15" t="s">
        <v>1452</v>
      </c>
      <c r="C121" s="110">
        <v>0.11492960347489919</v>
      </c>
      <c r="D121" s="244" t="s">
        <v>1317</v>
      </c>
      <c r="E121" s="2" t="s">
        <v>662</v>
      </c>
      <c r="F121" s="2" t="s">
        <v>1448</v>
      </c>
      <c r="G121" s="244">
        <v>22.5</v>
      </c>
    </row>
    <row r="122" spans="1:7" ht="30" customHeight="1">
      <c r="A122" s="244">
        <v>30</v>
      </c>
      <c r="B122" s="15" t="s">
        <v>1453</v>
      </c>
      <c r="C122" s="110">
        <v>0.10288457952993159</v>
      </c>
      <c r="D122" s="244" t="s">
        <v>1317</v>
      </c>
      <c r="E122" s="2" t="s">
        <v>662</v>
      </c>
      <c r="F122" s="2" t="s">
        <v>1448</v>
      </c>
      <c r="G122" s="244">
        <v>27.5</v>
      </c>
    </row>
    <row r="123" spans="1:7" ht="30" customHeight="1">
      <c r="A123" s="244">
        <v>35</v>
      </c>
      <c r="B123" s="15" t="s">
        <v>1454</v>
      </c>
      <c r="C123" s="110">
        <v>9.4280990997811884E-2</v>
      </c>
      <c r="D123" s="244" t="s">
        <v>1317</v>
      </c>
      <c r="E123" s="2" t="s">
        <v>662</v>
      </c>
      <c r="F123" s="2" t="s">
        <v>1448</v>
      </c>
      <c r="G123" s="244">
        <v>32.5</v>
      </c>
    </row>
    <row r="124" spans="1:7" ht="30" customHeight="1">
      <c r="A124" s="244">
        <v>40</v>
      </c>
      <c r="B124" s="15" t="s">
        <v>333</v>
      </c>
      <c r="C124" s="110">
        <v>8.7828299598722098E-2</v>
      </c>
      <c r="D124" s="244" t="s">
        <v>1317</v>
      </c>
      <c r="E124" s="2" t="s">
        <v>662</v>
      </c>
      <c r="F124" s="2" t="s">
        <v>1448</v>
      </c>
      <c r="G124" s="244">
        <v>37.5</v>
      </c>
    </row>
    <row r="125" spans="1:7" ht="30" customHeight="1">
      <c r="A125" s="244">
        <v>45</v>
      </c>
      <c r="B125" s="15" t="s">
        <v>1455</v>
      </c>
      <c r="C125" s="110">
        <v>8.2809539621652273E-2</v>
      </c>
      <c r="D125" s="244" t="s">
        <v>1317</v>
      </c>
      <c r="E125" s="2" t="s">
        <v>662</v>
      </c>
      <c r="F125" s="2" t="s">
        <v>1448</v>
      </c>
      <c r="G125" s="244">
        <v>42.5</v>
      </c>
    </row>
    <row r="126" spans="1:7" ht="30" customHeight="1">
      <c r="A126" s="244">
        <v>50</v>
      </c>
      <c r="B126" s="15" t="s">
        <v>1456</v>
      </c>
      <c r="C126" s="110">
        <v>7.879453163999639E-2</v>
      </c>
      <c r="D126" s="244" t="s">
        <v>1317</v>
      </c>
      <c r="E126" s="2" t="s">
        <v>662</v>
      </c>
      <c r="F126" s="2" t="s">
        <v>1448</v>
      </c>
      <c r="G126" s="244">
        <v>47.5</v>
      </c>
    </row>
    <row r="127" spans="1:7" ht="30" customHeight="1">
      <c r="A127" s="244">
        <v>60</v>
      </c>
      <c r="B127" s="15" t="s">
        <v>1457</v>
      </c>
      <c r="C127" s="110">
        <v>7.277201966751258E-2</v>
      </c>
      <c r="D127" s="244" t="s">
        <v>1317</v>
      </c>
      <c r="E127" s="2" t="s">
        <v>662</v>
      </c>
      <c r="F127" s="2" t="s">
        <v>1448</v>
      </c>
      <c r="G127" s="244">
        <v>55</v>
      </c>
    </row>
    <row r="128" spans="1:7" ht="30" customHeight="1">
      <c r="A128" s="244">
        <v>70</v>
      </c>
      <c r="B128" s="15" t="s">
        <v>340</v>
      </c>
      <c r="C128" s="110">
        <v>6.8470225401452728E-2</v>
      </c>
      <c r="D128" s="244" t="s">
        <v>1317</v>
      </c>
      <c r="E128" s="2" t="s">
        <v>662</v>
      </c>
      <c r="F128" s="2" t="s">
        <v>1448</v>
      </c>
      <c r="G128" s="244">
        <v>65</v>
      </c>
    </row>
    <row r="129" spans="1:7" ht="30" customHeight="1">
      <c r="A129" s="244">
        <v>80</v>
      </c>
      <c r="B129" s="15" t="s">
        <v>1458</v>
      </c>
      <c r="C129" s="110">
        <v>6.5243879701907842E-2</v>
      </c>
      <c r="D129" s="244" t="s">
        <v>1317</v>
      </c>
      <c r="E129" s="2" t="s">
        <v>662</v>
      </c>
      <c r="F129" s="2" t="s">
        <v>1448</v>
      </c>
      <c r="G129" s="244">
        <v>75</v>
      </c>
    </row>
    <row r="130" spans="1:7" ht="30" customHeight="1">
      <c r="A130" s="244">
        <v>90</v>
      </c>
      <c r="B130" s="15" t="s">
        <v>1459</v>
      </c>
      <c r="C130" s="110">
        <v>6.2734499713372929E-2</v>
      </c>
      <c r="D130" s="244" t="s">
        <v>1317</v>
      </c>
      <c r="E130" s="2" t="s">
        <v>662</v>
      </c>
      <c r="F130" s="2" t="s">
        <v>1448</v>
      </c>
      <c r="G130" s="244">
        <v>85</v>
      </c>
    </row>
    <row r="131" spans="1:7" ht="30" customHeight="1">
      <c r="A131" s="244">
        <v>100</v>
      </c>
      <c r="B131" s="15" t="s">
        <v>1460</v>
      </c>
      <c r="C131" s="110">
        <v>6.0726995722545002E-2</v>
      </c>
      <c r="D131" s="244" t="s">
        <v>1317</v>
      </c>
      <c r="E131" s="2" t="s">
        <v>662</v>
      </c>
      <c r="F131" s="2" t="s">
        <v>1448</v>
      </c>
      <c r="G131" s="244">
        <v>95</v>
      </c>
    </row>
    <row r="132" spans="1:7" ht="30" customHeight="1">
      <c r="A132" s="244">
        <v>150</v>
      </c>
      <c r="B132" s="15" t="s">
        <v>1461</v>
      </c>
      <c r="C132" s="110">
        <v>5.4704483750061206E-2</v>
      </c>
      <c r="D132" s="244" t="s">
        <v>1317</v>
      </c>
      <c r="E132" s="2" t="s">
        <v>662</v>
      </c>
      <c r="F132" s="2" t="s">
        <v>1448</v>
      </c>
      <c r="G132" s="244">
        <v>125</v>
      </c>
    </row>
    <row r="133" spans="1:7" ht="30" customHeight="1">
      <c r="A133" s="244">
        <v>200</v>
      </c>
      <c r="B133" s="15" t="s">
        <v>1462</v>
      </c>
      <c r="C133" s="110">
        <v>5.1693227763819287E-2</v>
      </c>
      <c r="D133" s="244" t="s">
        <v>1317</v>
      </c>
      <c r="E133" s="2" t="s">
        <v>662</v>
      </c>
      <c r="F133" s="2" t="s">
        <v>1448</v>
      </c>
      <c r="G133" s="244">
        <v>175</v>
      </c>
    </row>
    <row r="134" spans="1:7" ht="30" customHeight="1">
      <c r="A134" s="244">
        <v>250</v>
      </c>
      <c r="B134" s="15" t="s">
        <v>1463</v>
      </c>
      <c r="C134" s="110">
        <v>4.9886474172074154E-2</v>
      </c>
      <c r="D134" s="244" t="s">
        <v>1317</v>
      </c>
      <c r="E134" s="2" t="s">
        <v>662</v>
      </c>
      <c r="F134" s="2" t="s">
        <v>1448</v>
      </c>
      <c r="G134" s="244">
        <v>225</v>
      </c>
    </row>
    <row r="135" spans="1:7" ht="30" customHeight="1">
      <c r="B135" s="15" t="s">
        <v>209</v>
      </c>
      <c r="C135" s="110">
        <v>4.9886474172074154E-2</v>
      </c>
      <c r="D135" s="244" t="s">
        <v>1317</v>
      </c>
      <c r="E135" s="2" t="s">
        <v>662</v>
      </c>
      <c r="F135" s="2" t="s">
        <v>1448</v>
      </c>
      <c r="G135" s="244">
        <v>250</v>
      </c>
    </row>
    <row r="137" spans="1:7" ht="13">
      <c r="B137" s="364" t="s">
        <v>663</v>
      </c>
      <c r="C137" s="365"/>
      <c r="D137" s="365"/>
      <c r="E137" s="366"/>
      <c r="F137" s="366"/>
    </row>
    <row r="138" spans="1:7" ht="25">
      <c r="A138" s="244">
        <v>5</v>
      </c>
      <c r="B138" s="15" t="s">
        <v>1464</v>
      </c>
      <c r="C138" s="110">
        <v>388.09407220480284</v>
      </c>
      <c r="D138" s="244" t="s">
        <v>1318</v>
      </c>
      <c r="E138" s="2" t="s">
        <v>664</v>
      </c>
      <c r="F138" s="2" t="s">
        <v>1465</v>
      </c>
      <c r="G138" s="244" cm="1">
        <f t="array" ref="G138:G156">Long_haul_distance_average_L</f>
        <v>2.5</v>
      </c>
    </row>
    <row r="139" spans="1:7" ht="25">
      <c r="A139" s="244">
        <v>10</v>
      </c>
      <c r="B139" s="15" t="s">
        <v>1466</v>
      </c>
      <c r="C139" s="110">
        <v>204.86277254089595</v>
      </c>
      <c r="D139" s="244" t="s">
        <v>1318</v>
      </c>
      <c r="E139" s="2" t="s">
        <v>664</v>
      </c>
      <c r="F139" s="2" t="s">
        <v>1465</v>
      </c>
      <c r="G139" s="244">
        <v>7.5</v>
      </c>
    </row>
    <row r="140" spans="1:7" ht="25">
      <c r="A140" s="244">
        <v>15</v>
      </c>
      <c r="B140" s="15" t="s">
        <v>1467</v>
      </c>
      <c r="C140" s="110">
        <v>143.78567265292696</v>
      </c>
      <c r="D140" s="244" t="s">
        <v>1318</v>
      </c>
      <c r="E140" s="2" t="s">
        <v>664</v>
      </c>
      <c r="F140" s="2" t="s">
        <v>1465</v>
      </c>
      <c r="G140" s="244">
        <v>12.5</v>
      </c>
    </row>
    <row r="141" spans="1:7" ht="25">
      <c r="A141" s="244">
        <v>20</v>
      </c>
      <c r="B141" s="15" t="s">
        <v>1468</v>
      </c>
      <c r="C141" s="110">
        <v>113.2471227089425</v>
      </c>
      <c r="D141" s="244" t="s">
        <v>1318</v>
      </c>
      <c r="E141" s="2" t="s">
        <v>664</v>
      </c>
      <c r="F141" s="2" t="s">
        <v>1465</v>
      </c>
      <c r="G141" s="244">
        <v>17.5</v>
      </c>
    </row>
    <row r="142" spans="1:7" ht="25">
      <c r="A142" s="244">
        <v>25</v>
      </c>
      <c r="B142" s="15" t="s">
        <v>1469</v>
      </c>
      <c r="C142" s="110">
        <v>94.923992742551775</v>
      </c>
      <c r="D142" s="244" t="s">
        <v>1318</v>
      </c>
      <c r="E142" s="2" t="s">
        <v>664</v>
      </c>
      <c r="F142" s="2" t="s">
        <v>1465</v>
      </c>
      <c r="G142" s="244">
        <v>22.5</v>
      </c>
    </row>
    <row r="143" spans="1:7" ht="25">
      <c r="A143" s="244">
        <v>30</v>
      </c>
      <c r="B143" s="15" t="s">
        <v>1470</v>
      </c>
      <c r="C143" s="110">
        <v>82.708572764957992</v>
      </c>
      <c r="D143" s="244" t="s">
        <v>1318</v>
      </c>
      <c r="E143" s="2" t="s">
        <v>664</v>
      </c>
      <c r="F143" s="2" t="s">
        <v>1465</v>
      </c>
      <c r="G143" s="244">
        <v>27.5</v>
      </c>
    </row>
    <row r="144" spans="1:7" ht="25">
      <c r="A144" s="244">
        <v>35</v>
      </c>
      <c r="B144" s="15" t="s">
        <v>1471</v>
      </c>
      <c r="C144" s="110">
        <v>73.983272780962409</v>
      </c>
      <c r="D144" s="244" t="s">
        <v>1318</v>
      </c>
      <c r="E144" s="2" t="s">
        <v>664</v>
      </c>
      <c r="F144" s="2" t="s">
        <v>1465</v>
      </c>
      <c r="G144" s="244">
        <v>32.5</v>
      </c>
    </row>
    <row r="145" spans="1:7" ht="25">
      <c r="A145" s="244">
        <v>40</v>
      </c>
      <c r="B145" s="15" t="s">
        <v>1472</v>
      </c>
      <c r="C145" s="110">
        <v>67.439297792965746</v>
      </c>
      <c r="D145" s="244" t="s">
        <v>1318</v>
      </c>
      <c r="E145" s="2" t="s">
        <v>664</v>
      </c>
      <c r="F145" s="2" t="s">
        <v>1465</v>
      </c>
      <c r="G145" s="244">
        <v>37.5</v>
      </c>
    </row>
    <row r="146" spans="1:7" ht="25">
      <c r="A146" s="244">
        <v>45</v>
      </c>
      <c r="B146" s="15" t="s">
        <v>1473</v>
      </c>
      <c r="C146" s="110">
        <v>62.349539468968338</v>
      </c>
      <c r="D146" s="244" t="s">
        <v>1318</v>
      </c>
      <c r="E146" s="2" t="s">
        <v>664</v>
      </c>
      <c r="F146" s="2" t="s">
        <v>1465</v>
      </c>
      <c r="G146" s="244">
        <v>42.5</v>
      </c>
    </row>
    <row r="147" spans="1:7" ht="25">
      <c r="A147" s="244">
        <v>50</v>
      </c>
      <c r="B147" s="15" t="s">
        <v>463</v>
      </c>
      <c r="C147" s="110">
        <v>58.277732809770399</v>
      </c>
      <c r="D147" s="244" t="s">
        <v>1318</v>
      </c>
      <c r="E147" s="2" t="s">
        <v>664</v>
      </c>
      <c r="F147" s="2" t="s">
        <v>1465</v>
      </c>
      <c r="G147" s="244">
        <v>47.5</v>
      </c>
    </row>
    <row r="148" spans="1:7" ht="25">
      <c r="A148" s="244">
        <v>60</v>
      </c>
      <c r="B148" s="15" t="s">
        <v>1474</v>
      </c>
      <c r="C148" s="110">
        <v>52.170022820973493</v>
      </c>
      <c r="D148" s="244" t="s">
        <v>1318</v>
      </c>
      <c r="E148" s="2" t="s">
        <v>664</v>
      </c>
      <c r="F148" s="2" t="s">
        <v>1465</v>
      </c>
      <c r="G148" s="244">
        <v>55</v>
      </c>
    </row>
    <row r="149" spans="1:7" ht="25">
      <c r="A149" s="244">
        <v>70</v>
      </c>
      <c r="B149" s="15" t="s">
        <v>1475</v>
      </c>
      <c r="C149" s="110">
        <v>47.807372828975716</v>
      </c>
      <c r="D149" s="244" t="s">
        <v>1318</v>
      </c>
      <c r="E149" s="2" t="s">
        <v>664</v>
      </c>
      <c r="F149" s="2" t="s">
        <v>1465</v>
      </c>
      <c r="G149" s="244">
        <v>65</v>
      </c>
    </row>
    <row r="150" spans="1:7" ht="25">
      <c r="A150" s="244">
        <v>80</v>
      </c>
      <c r="B150" s="15" t="s">
        <v>1476</v>
      </c>
      <c r="C150" s="110">
        <v>44.535385334977377</v>
      </c>
      <c r="D150" s="244" t="s">
        <v>1318</v>
      </c>
      <c r="E150" s="2" t="s">
        <v>664</v>
      </c>
      <c r="F150" s="2" t="s">
        <v>1465</v>
      </c>
      <c r="G150" s="244">
        <v>75</v>
      </c>
    </row>
    <row r="151" spans="1:7" ht="25">
      <c r="A151" s="244">
        <v>90</v>
      </c>
      <c r="B151" s="15" t="s">
        <v>1477</v>
      </c>
      <c r="C151" s="110">
        <v>41.990506172978669</v>
      </c>
      <c r="D151" s="244" t="s">
        <v>1318</v>
      </c>
      <c r="E151" s="2" t="s">
        <v>664</v>
      </c>
      <c r="F151" s="2" t="s">
        <v>1465</v>
      </c>
      <c r="G151" s="244">
        <v>85</v>
      </c>
    </row>
    <row r="152" spans="1:7" ht="25">
      <c r="A152" s="244">
        <v>100</v>
      </c>
      <c r="B152" s="15" t="s">
        <v>1478</v>
      </c>
      <c r="C152" s="110">
        <v>39.954602843379696</v>
      </c>
      <c r="D152" s="244" t="s">
        <v>1318</v>
      </c>
      <c r="E152" s="2" t="s">
        <v>664</v>
      </c>
      <c r="F152" s="2" t="s">
        <v>1465</v>
      </c>
      <c r="G152" s="244">
        <v>95</v>
      </c>
    </row>
    <row r="153" spans="1:7" ht="25">
      <c r="A153" s="244">
        <v>150</v>
      </c>
      <c r="B153" s="15" t="s">
        <v>1479</v>
      </c>
      <c r="C153" s="110">
        <v>33.846892854582805</v>
      </c>
      <c r="D153" s="244" t="s">
        <v>1318</v>
      </c>
      <c r="E153" s="2" t="s">
        <v>664</v>
      </c>
      <c r="F153" s="2" t="s">
        <v>1465</v>
      </c>
      <c r="G153" s="244">
        <v>125</v>
      </c>
    </row>
    <row r="154" spans="1:7" ht="25">
      <c r="A154" s="244">
        <v>200</v>
      </c>
      <c r="B154" s="15" t="s">
        <v>1480</v>
      </c>
      <c r="C154" s="110">
        <v>30.793037860184359</v>
      </c>
      <c r="D154" s="244" t="s">
        <v>1318</v>
      </c>
      <c r="E154" s="2" t="s">
        <v>664</v>
      </c>
      <c r="F154" s="2" t="s">
        <v>1465</v>
      </c>
      <c r="G154" s="244">
        <v>175</v>
      </c>
    </row>
    <row r="155" spans="1:7" ht="25">
      <c r="A155" s="244">
        <v>250</v>
      </c>
      <c r="B155" s="15" t="s">
        <v>1481</v>
      </c>
      <c r="C155" s="110">
        <v>28.960724863545288</v>
      </c>
      <c r="D155" s="244" t="s">
        <v>1318</v>
      </c>
      <c r="E155" s="2" t="s">
        <v>664</v>
      </c>
      <c r="F155" s="2" t="s">
        <v>1465</v>
      </c>
      <c r="G155" s="244">
        <v>225</v>
      </c>
    </row>
    <row r="156" spans="1:7" ht="25">
      <c r="B156" s="15" t="s">
        <v>1482</v>
      </c>
      <c r="C156" s="110">
        <v>28.960724863545288</v>
      </c>
      <c r="D156" s="244" t="s">
        <v>1318</v>
      </c>
      <c r="E156" s="2" t="s">
        <v>664</v>
      </c>
      <c r="F156" s="2" t="s">
        <v>1465</v>
      </c>
      <c r="G156" s="244">
        <v>250</v>
      </c>
    </row>
    <row r="158" spans="1:7" ht="13">
      <c r="B158" s="364" t="s">
        <v>665</v>
      </c>
      <c r="C158" s="365"/>
      <c r="D158" s="365"/>
      <c r="E158" s="366"/>
      <c r="F158" s="366"/>
    </row>
    <row r="159" spans="1:7" ht="25">
      <c r="A159" s="244">
        <v>5</v>
      </c>
      <c r="B159" s="15" t="s">
        <v>1483</v>
      </c>
      <c r="C159" s="110">
        <v>27.08093041138024</v>
      </c>
      <c r="D159" s="244" t="s">
        <v>1319</v>
      </c>
      <c r="E159" s="2" t="s">
        <v>666</v>
      </c>
      <c r="F159" s="2" t="s">
        <v>1484</v>
      </c>
      <c r="G159" s="244" cm="1">
        <f t="array" ref="G159:G177">Long_haul_distance_average_L</f>
        <v>2.5</v>
      </c>
    </row>
    <row r="160" spans="1:7" ht="25">
      <c r="A160" s="244">
        <v>10</v>
      </c>
      <c r="B160" s="15" t="s">
        <v>1485</v>
      </c>
      <c r="C160" s="110">
        <v>14.970203767781623</v>
      </c>
      <c r="D160" s="244" t="s">
        <v>1319</v>
      </c>
      <c r="E160" s="2" t="s">
        <v>666</v>
      </c>
      <c r="F160" s="2" t="s">
        <v>1484</v>
      </c>
      <c r="G160" s="244">
        <v>7.5</v>
      </c>
    </row>
    <row r="161" spans="1:7" ht="25">
      <c r="A161" s="244">
        <v>15</v>
      </c>
      <c r="B161" s="15" t="s">
        <v>1486</v>
      </c>
      <c r="C161" s="110">
        <v>10.933294886582086</v>
      </c>
      <c r="D161" s="244" t="s">
        <v>1319</v>
      </c>
      <c r="E161" s="2" t="s">
        <v>666</v>
      </c>
      <c r="F161" s="2" t="s">
        <v>1484</v>
      </c>
      <c r="G161" s="244">
        <v>12.5</v>
      </c>
    </row>
    <row r="162" spans="1:7" ht="25">
      <c r="A162" s="244">
        <v>20</v>
      </c>
      <c r="B162" s="15" t="s">
        <v>1487</v>
      </c>
      <c r="C162" s="110">
        <v>8.9148404459823158</v>
      </c>
      <c r="D162" s="244" t="s">
        <v>1319</v>
      </c>
      <c r="E162" s="2" t="s">
        <v>666</v>
      </c>
      <c r="F162" s="2" t="s">
        <v>1484</v>
      </c>
      <c r="G162" s="244">
        <v>17.5</v>
      </c>
    </row>
    <row r="163" spans="1:7" ht="25">
      <c r="A163" s="244">
        <v>25</v>
      </c>
      <c r="B163" s="15" t="s">
        <v>1488</v>
      </c>
      <c r="C163" s="110">
        <v>7.703767781622453</v>
      </c>
      <c r="D163" s="244" t="s">
        <v>1319</v>
      </c>
      <c r="E163" s="2" t="s">
        <v>666</v>
      </c>
      <c r="F163" s="2" t="s">
        <v>1484</v>
      </c>
      <c r="G163" s="244">
        <v>22.5</v>
      </c>
    </row>
    <row r="164" spans="1:7" ht="25">
      <c r="A164" s="244">
        <v>30</v>
      </c>
      <c r="B164" s="15" t="s">
        <v>477</v>
      </c>
      <c r="C164" s="110">
        <v>6.8963860053825448</v>
      </c>
      <c r="D164" s="244" t="s">
        <v>1319</v>
      </c>
      <c r="E164" s="2" t="s">
        <v>666</v>
      </c>
      <c r="F164" s="2" t="s">
        <v>1484</v>
      </c>
      <c r="G164" s="244">
        <v>27.5</v>
      </c>
    </row>
    <row r="165" spans="1:7" ht="25">
      <c r="A165" s="244">
        <v>35</v>
      </c>
      <c r="B165" s="15" t="s">
        <v>1489</v>
      </c>
      <c r="C165" s="110">
        <v>6.3196847366397551</v>
      </c>
      <c r="D165" s="244" t="s">
        <v>1319</v>
      </c>
      <c r="E165" s="2" t="s">
        <v>666</v>
      </c>
      <c r="F165" s="2" t="s">
        <v>1484</v>
      </c>
      <c r="G165" s="244">
        <v>32.5</v>
      </c>
    </row>
    <row r="166" spans="1:7" ht="25">
      <c r="A166" s="244">
        <v>40</v>
      </c>
      <c r="B166" s="15" t="s">
        <v>1490</v>
      </c>
      <c r="C166" s="110">
        <v>5.8871587850826606</v>
      </c>
      <c r="D166" s="244" t="s">
        <v>1319</v>
      </c>
      <c r="E166" s="2" t="s">
        <v>666</v>
      </c>
      <c r="F166" s="2" t="s">
        <v>1484</v>
      </c>
      <c r="G166" s="244">
        <v>37.5</v>
      </c>
    </row>
    <row r="167" spans="1:7" ht="25">
      <c r="A167" s="244">
        <v>45</v>
      </c>
      <c r="B167" s="15" t="s">
        <v>1491</v>
      </c>
      <c r="C167" s="110">
        <v>5.5507497116493667</v>
      </c>
      <c r="D167" s="244" t="s">
        <v>1319</v>
      </c>
      <c r="E167" s="2" t="s">
        <v>666</v>
      </c>
      <c r="F167" s="2" t="s">
        <v>1484</v>
      </c>
      <c r="G167" s="244">
        <v>42.5</v>
      </c>
    </row>
    <row r="168" spans="1:7" ht="25">
      <c r="A168" s="244">
        <v>50</v>
      </c>
      <c r="B168" s="15" t="s">
        <v>1492</v>
      </c>
      <c r="C168" s="110">
        <v>5.2816224529027291</v>
      </c>
      <c r="D168" s="244" t="s">
        <v>1319</v>
      </c>
      <c r="E168" s="2" t="s">
        <v>666</v>
      </c>
      <c r="F168" s="2" t="s">
        <v>1484</v>
      </c>
      <c r="G168" s="244">
        <v>47.5</v>
      </c>
    </row>
    <row r="169" spans="1:7" ht="25">
      <c r="A169" s="244">
        <v>60</v>
      </c>
      <c r="B169" s="15" t="s">
        <v>1493</v>
      </c>
      <c r="C169" s="110">
        <v>4.8779315647827755</v>
      </c>
      <c r="D169" s="244" t="s">
        <v>1319</v>
      </c>
      <c r="E169" s="2" t="s">
        <v>666</v>
      </c>
      <c r="F169" s="2" t="s">
        <v>1484</v>
      </c>
      <c r="G169" s="244">
        <v>55</v>
      </c>
    </row>
    <row r="170" spans="1:7" ht="25">
      <c r="A170" s="244">
        <v>70</v>
      </c>
      <c r="B170" s="15" t="s">
        <v>1494</v>
      </c>
      <c r="C170" s="110">
        <v>4.5895809304113806</v>
      </c>
      <c r="D170" s="244" t="s">
        <v>1319</v>
      </c>
      <c r="E170" s="2" t="s">
        <v>666</v>
      </c>
      <c r="F170" s="2" t="s">
        <v>1484</v>
      </c>
      <c r="G170" s="244">
        <v>65</v>
      </c>
    </row>
    <row r="171" spans="1:7" ht="25">
      <c r="A171" s="244">
        <v>80</v>
      </c>
      <c r="B171" s="15" t="s">
        <v>1495</v>
      </c>
      <c r="C171" s="110">
        <v>4.3733179546328333</v>
      </c>
      <c r="D171" s="244" t="s">
        <v>1319</v>
      </c>
      <c r="E171" s="2" t="s">
        <v>666</v>
      </c>
      <c r="F171" s="2" t="s">
        <v>1484</v>
      </c>
      <c r="G171" s="244">
        <v>75</v>
      </c>
    </row>
    <row r="172" spans="1:7" ht="25">
      <c r="A172" s="244">
        <v>90</v>
      </c>
      <c r="B172" s="15" t="s">
        <v>1496</v>
      </c>
      <c r="C172" s="110">
        <v>4.205113417916186</v>
      </c>
      <c r="D172" s="244" t="s">
        <v>1319</v>
      </c>
      <c r="E172" s="2" t="s">
        <v>666</v>
      </c>
      <c r="F172" s="2" t="s">
        <v>1484</v>
      </c>
      <c r="G172" s="244">
        <v>85</v>
      </c>
    </row>
    <row r="173" spans="1:7" ht="25">
      <c r="A173" s="244">
        <v>100</v>
      </c>
      <c r="B173" s="15" t="s">
        <v>1497</v>
      </c>
      <c r="C173" s="110">
        <v>4.070549788542869</v>
      </c>
      <c r="D173" s="244" t="s">
        <v>1319</v>
      </c>
      <c r="E173" s="2" t="s">
        <v>666</v>
      </c>
      <c r="F173" s="2" t="s">
        <v>1484</v>
      </c>
      <c r="G173" s="244">
        <v>95</v>
      </c>
    </row>
    <row r="174" spans="1:7" ht="25">
      <c r="A174" s="244">
        <v>150</v>
      </c>
      <c r="B174" s="15" t="s">
        <v>1498</v>
      </c>
      <c r="C174" s="110">
        <v>3.6668589004229148</v>
      </c>
      <c r="D174" s="244" t="s">
        <v>1319</v>
      </c>
      <c r="E174" s="2" t="s">
        <v>666</v>
      </c>
      <c r="F174" s="2" t="s">
        <v>1484</v>
      </c>
      <c r="G174" s="244">
        <v>125</v>
      </c>
    </row>
    <row r="175" spans="1:7" ht="25">
      <c r="A175" s="244">
        <v>200</v>
      </c>
      <c r="B175" s="15" t="s">
        <v>1499</v>
      </c>
      <c r="C175" s="110">
        <v>3.4650134563629376</v>
      </c>
      <c r="D175" s="244" t="s">
        <v>1319</v>
      </c>
      <c r="E175" s="2" t="s">
        <v>666</v>
      </c>
      <c r="F175" s="2" t="s">
        <v>1484</v>
      </c>
      <c r="G175" s="244">
        <v>175</v>
      </c>
    </row>
    <row r="176" spans="1:7" ht="25">
      <c r="A176" s="244">
        <v>250</v>
      </c>
      <c r="B176" s="15" t="s">
        <v>1500</v>
      </c>
      <c r="C176" s="110">
        <v>3.3439061899269515</v>
      </c>
      <c r="D176" s="244" t="s">
        <v>1319</v>
      </c>
      <c r="E176" s="2" t="s">
        <v>666</v>
      </c>
      <c r="F176" s="2" t="s">
        <v>1484</v>
      </c>
      <c r="G176" s="244">
        <v>225</v>
      </c>
    </row>
    <row r="177" spans="1:7" ht="25">
      <c r="B177" s="15" t="s">
        <v>1501</v>
      </c>
      <c r="C177" s="110">
        <v>3.3439061899269515</v>
      </c>
      <c r="D177" s="244" t="s">
        <v>1319</v>
      </c>
      <c r="E177" s="2" t="s">
        <v>666</v>
      </c>
      <c r="F177" s="2" t="s">
        <v>1484</v>
      </c>
      <c r="G177" s="244">
        <v>250</v>
      </c>
    </row>
    <row r="179" spans="1:7" ht="13">
      <c r="B179" s="364" t="s">
        <v>667</v>
      </c>
      <c r="C179" s="365"/>
      <c r="D179" s="365"/>
      <c r="E179" s="366"/>
      <c r="F179" s="366"/>
    </row>
    <row r="180" spans="1:7" ht="25">
      <c r="A180" s="244">
        <v>5</v>
      </c>
      <c r="B180" s="15" t="s">
        <v>1502</v>
      </c>
      <c r="C180" s="110">
        <v>6.5123189798795336</v>
      </c>
      <c r="D180" s="244" t="s">
        <v>1305</v>
      </c>
      <c r="E180" s="2" t="s">
        <v>668</v>
      </c>
      <c r="F180" s="2" t="s">
        <v>1503</v>
      </c>
      <c r="G180" s="244" cm="1">
        <f t="array" ref="G180:G198">Long_haul_distance_average_L</f>
        <v>2.5</v>
      </c>
    </row>
    <row r="181" spans="1:7" ht="25">
      <c r="A181" s="244">
        <v>10</v>
      </c>
      <c r="B181" s="15" t="s">
        <v>533</v>
      </c>
      <c r="C181" s="110">
        <v>3.599977572728438</v>
      </c>
      <c r="D181" s="244" t="s">
        <v>1305</v>
      </c>
      <c r="E181" s="2" t="s">
        <v>668</v>
      </c>
      <c r="F181" s="2" t="s">
        <v>1503</v>
      </c>
      <c r="G181" s="244">
        <v>7.5</v>
      </c>
    </row>
    <row r="182" spans="1:7" ht="25">
      <c r="A182" s="244">
        <v>15</v>
      </c>
      <c r="B182" s="15" t="s">
        <v>170</v>
      </c>
      <c r="C182" s="110">
        <v>2.6291971036780728</v>
      </c>
      <c r="D182" s="244" t="s">
        <v>1305</v>
      </c>
      <c r="E182" s="2" t="s">
        <v>668</v>
      </c>
      <c r="F182" s="2" t="s">
        <v>1503</v>
      </c>
      <c r="G182" s="244">
        <v>12.5</v>
      </c>
    </row>
    <row r="183" spans="1:7" ht="25">
      <c r="A183" s="244">
        <v>20</v>
      </c>
      <c r="B183" s="15" t="s">
        <v>1504</v>
      </c>
      <c r="C183" s="110">
        <v>2.1438068691528902</v>
      </c>
      <c r="D183" s="244" t="s">
        <v>1305</v>
      </c>
      <c r="E183" s="2" t="s">
        <v>668</v>
      </c>
      <c r="F183" s="2" t="s">
        <v>1503</v>
      </c>
      <c r="G183" s="244">
        <v>17.5</v>
      </c>
    </row>
    <row r="184" spans="1:7" ht="25">
      <c r="A184" s="244">
        <v>25</v>
      </c>
      <c r="B184" s="15" t="s">
        <v>1505</v>
      </c>
      <c r="C184" s="110">
        <v>1.8525727284377806</v>
      </c>
      <c r="D184" s="244" t="s">
        <v>1305</v>
      </c>
      <c r="E184" s="2" t="s">
        <v>668</v>
      </c>
      <c r="F184" s="2" t="s">
        <v>1503</v>
      </c>
      <c r="G184" s="244">
        <v>22.5</v>
      </c>
    </row>
    <row r="185" spans="1:7" ht="25">
      <c r="A185" s="244">
        <v>30</v>
      </c>
      <c r="B185" s="15" t="s">
        <v>1506</v>
      </c>
      <c r="C185" s="110">
        <v>1.6584166346277072</v>
      </c>
      <c r="D185" s="244" t="s">
        <v>1305</v>
      </c>
      <c r="E185" s="2" t="s">
        <v>668</v>
      </c>
      <c r="F185" s="2" t="s">
        <v>1503</v>
      </c>
      <c r="G185" s="244">
        <v>27.5</v>
      </c>
    </row>
    <row r="186" spans="1:7" ht="25">
      <c r="A186" s="244">
        <v>35</v>
      </c>
      <c r="B186" s="15" t="s">
        <v>1507</v>
      </c>
      <c r="C186" s="110">
        <v>1.5197337104776554</v>
      </c>
      <c r="D186" s="244" t="s">
        <v>1305</v>
      </c>
      <c r="E186" s="2" t="s">
        <v>668</v>
      </c>
      <c r="F186" s="2" t="s">
        <v>1503</v>
      </c>
      <c r="G186" s="244">
        <v>32.5</v>
      </c>
    </row>
    <row r="187" spans="1:7" ht="25">
      <c r="A187" s="244">
        <v>40</v>
      </c>
      <c r="B187" s="15" t="s">
        <v>1508</v>
      </c>
      <c r="C187" s="110">
        <v>1.9063180827886712</v>
      </c>
      <c r="D187" s="244" t="s">
        <v>1305</v>
      </c>
      <c r="E187" s="2" t="s">
        <v>668</v>
      </c>
      <c r="F187" s="2" t="s">
        <v>1503</v>
      </c>
      <c r="G187" s="244">
        <v>37.5</v>
      </c>
    </row>
    <row r="188" spans="1:7" ht="25">
      <c r="A188" s="244">
        <v>45</v>
      </c>
      <c r="B188" s="15" t="s">
        <v>1509</v>
      </c>
      <c r="C188" s="110">
        <v>1.797385620915033</v>
      </c>
      <c r="D188" s="244" t="s">
        <v>1305</v>
      </c>
      <c r="E188" s="2" t="s">
        <v>668</v>
      </c>
      <c r="F188" s="2" t="s">
        <v>1503</v>
      </c>
      <c r="G188" s="244">
        <v>42.5</v>
      </c>
    </row>
    <row r="189" spans="1:7" ht="25">
      <c r="A189" s="244">
        <v>50</v>
      </c>
      <c r="B189" s="15" t="s">
        <v>1510</v>
      </c>
      <c r="C189" s="110">
        <v>1.710239651416122</v>
      </c>
      <c r="D189" s="244" t="s">
        <v>1305</v>
      </c>
      <c r="E189" s="2" t="s">
        <v>668</v>
      </c>
      <c r="F189" s="2" t="s">
        <v>1503</v>
      </c>
      <c r="G189" s="244">
        <v>47.5</v>
      </c>
    </row>
    <row r="190" spans="1:7" ht="25">
      <c r="A190" s="244">
        <v>60</v>
      </c>
      <c r="B190" s="15" t="s">
        <v>1511</v>
      </c>
      <c r="C190" s="110">
        <v>1.579520697167756</v>
      </c>
      <c r="D190" s="244" t="s">
        <v>1305</v>
      </c>
      <c r="E190" s="2" t="s">
        <v>668</v>
      </c>
      <c r="F190" s="2" t="s">
        <v>1503</v>
      </c>
      <c r="G190" s="244">
        <v>55</v>
      </c>
    </row>
    <row r="191" spans="1:7" ht="25">
      <c r="A191" s="244">
        <v>70</v>
      </c>
      <c r="B191" s="15" t="s">
        <v>1512</v>
      </c>
      <c r="C191" s="110">
        <v>1.4861500155617802</v>
      </c>
      <c r="D191" s="244" t="s">
        <v>1305</v>
      </c>
      <c r="E191" s="2" t="s">
        <v>668</v>
      </c>
      <c r="F191" s="2" t="s">
        <v>1503</v>
      </c>
      <c r="G191" s="244">
        <v>65</v>
      </c>
    </row>
    <row r="192" spans="1:7" ht="25">
      <c r="A192" s="244">
        <v>80</v>
      </c>
      <c r="B192" s="15" t="s">
        <v>1513</v>
      </c>
      <c r="C192" s="110">
        <v>1.4161220043572986</v>
      </c>
      <c r="D192" s="244" t="s">
        <v>1305</v>
      </c>
      <c r="E192" s="2" t="s">
        <v>668</v>
      </c>
      <c r="F192" s="2" t="s">
        <v>1503</v>
      </c>
      <c r="G192" s="244">
        <v>75</v>
      </c>
    </row>
    <row r="193" spans="1:7" ht="25">
      <c r="A193" s="244">
        <v>90</v>
      </c>
      <c r="B193" s="15" t="s">
        <v>1514</v>
      </c>
      <c r="C193" s="110">
        <v>1.3616557734204793</v>
      </c>
      <c r="D193" s="244" t="s">
        <v>1305</v>
      </c>
      <c r="E193" s="2" t="s">
        <v>668</v>
      </c>
      <c r="F193" s="2" t="s">
        <v>1503</v>
      </c>
      <c r="G193" s="244">
        <v>85</v>
      </c>
    </row>
    <row r="194" spans="1:7" ht="25">
      <c r="A194" s="244">
        <v>100</v>
      </c>
      <c r="B194" s="15" t="s">
        <v>1515</v>
      </c>
      <c r="C194" s="110">
        <v>1.3180827886710242</v>
      </c>
      <c r="D194" s="244" t="s">
        <v>1305</v>
      </c>
      <c r="E194" s="2" t="s">
        <v>668</v>
      </c>
      <c r="F194" s="2" t="s">
        <v>1503</v>
      </c>
      <c r="G194" s="244">
        <v>95</v>
      </c>
    </row>
    <row r="195" spans="1:7" ht="25">
      <c r="A195" s="244">
        <v>150</v>
      </c>
      <c r="B195" s="15" t="s">
        <v>1516</v>
      </c>
      <c r="C195" s="110">
        <v>1.492935409457901</v>
      </c>
      <c r="D195" s="244" t="s">
        <v>1305</v>
      </c>
      <c r="E195" s="2" t="s">
        <v>668</v>
      </c>
      <c r="F195" s="2" t="s">
        <v>1503</v>
      </c>
      <c r="G195" s="244">
        <v>125</v>
      </c>
    </row>
    <row r="196" spans="1:7" ht="25">
      <c r="A196" s="244">
        <v>200</v>
      </c>
      <c r="B196" s="15" t="s">
        <v>1517</v>
      </c>
      <c r="C196" s="110">
        <v>1.6995066000256314</v>
      </c>
      <c r="D196" s="244" t="s">
        <v>1305</v>
      </c>
      <c r="E196" s="2" t="s">
        <v>668</v>
      </c>
      <c r="F196" s="2" t="s">
        <v>1503</v>
      </c>
      <c r="G196" s="244">
        <v>175</v>
      </c>
    </row>
    <row r="197" spans="1:7" ht="25">
      <c r="A197" s="244">
        <v>250</v>
      </c>
      <c r="B197" s="15" t="s">
        <v>1518</v>
      </c>
      <c r="C197" s="110">
        <v>1.6401063693451241</v>
      </c>
      <c r="D197" s="244" t="s">
        <v>1305</v>
      </c>
      <c r="E197" s="2" t="s">
        <v>668</v>
      </c>
      <c r="F197" s="2" t="s">
        <v>1503</v>
      </c>
      <c r="G197" s="244">
        <v>225</v>
      </c>
    </row>
    <row r="198" spans="1:7" ht="25">
      <c r="B198" s="15" t="s">
        <v>1519</v>
      </c>
      <c r="C198" s="110">
        <v>1.6401063693451241</v>
      </c>
      <c r="D198" s="244" t="s">
        <v>1305</v>
      </c>
      <c r="E198" s="2" t="s">
        <v>668</v>
      </c>
      <c r="F198" s="2" t="s">
        <v>1503</v>
      </c>
      <c r="G198" s="244">
        <v>250</v>
      </c>
    </row>
    <row r="200" spans="1:7" ht="13">
      <c r="B200" s="364" t="s">
        <v>669</v>
      </c>
      <c r="C200" s="365"/>
      <c r="D200" s="365"/>
      <c r="E200" s="366"/>
      <c r="F200" s="366"/>
    </row>
    <row r="201" spans="1:7" ht="25">
      <c r="A201" s="244">
        <v>5</v>
      </c>
      <c r="B201" s="15" t="s">
        <v>1520</v>
      </c>
      <c r="C201" s="110">
        <v>7.7374086889657834</v>
      </c>
      <c r="D201" s="244" t="s">
        <v>1323</v>
      </c>
      <c r="E201" s="2" t="s">
        <v>670</v>
      </c>
      <c r="F201" s="2" t="s">
        <v>1521</v>
      </c>
      <c r="G201" s="244" cm="1">
        <f t="array" ref="G201:G219">Long_haul_distance_average_L</f>
        <v>2.5</v>
      </c>
    </row>
    <row r="202" spans="1:7" ht="25">
      <c r="A202" s="244">
        <v>10</v>
      </c>
      <c r="B202" s="15" t="s">
        <v>1522</v>
      </c>
      <c r="C202" s="110">
        <v>7.7374086889657834</v>
      </c>
      <c r="D202" s="244" t="s">
        <v>1323</v>
      </c>
      <c r="E202" s="2" t="s">
        <v>670</v>
      </c>
      <c r="F202" s="2" t="s">
        <v>1521</v>
      </c>
      <c r="G202" s="244">
        <v>7.5</v>
      </c>
    </row>
    <row r="203" spans="1:7" ht="25">
      <c r="A203" s="244">
        <v>15</v>
      </c>
      <c r="B203" s="15" t="s">
        <v>173</v>
      </c>
      <c r="C203" s="110">
        <v>7.7374086889657834</v>
      </c>
      <c r="D203" s="244" t="s">
        <v>1323</v>
      </c>
      <c r="E203" s="2" t="s">
        <v>670</v>
      </c>
      <c r="F203" s="2" t="s">
        <v>1521</v>
      </c>
      <c r="G203" s="244">
        <v>12.5</v>
      </c>
    </row>
    <row r="204" spans="1:7" ht="25">
      <c r="A204" s="244">
        <v>20</v>
      </c>
      <c r="B204" s="15" t="s">
        <v>1523</v>
      </c>
      <c r="C204" s="110">
        <v>7.7374086889657834</v>
      </c>
      <c r="D204" s="244" t="s">
        <v>1323</v>
      </c>
      <c r="E204" s="2" t="s">
        <v>670</v>
      </c>
      <c r="F204" s="2" t="s">
        <v>1521</v>
      </c>
      <c r="G204" s="244">
        <v>17.5</v>
      </c>
    </row>
    <row r="205" spans="1:7" ht="25">
      <c r="A205" s="244">
        <v>25</v>
      </c>
      <c r="B205" s="15" t="s">
        <v>1524</v>
      </c>
      <c r="C205" s="110">
        <v>7.7374086889657825</v>
      </c>
      <c r="D205" s="244" t="s">
        <v>1323</v>
      </c>
      <c r="E205" s="2" t="s">
        <v>670</v>
      </c>
      <c r="F205" s="2" t="s">
        <v>1521</v>
      </c>
      <c r="G205" s="244">
        <v>22.5</v>
      </c>
    </row>
    <row r="206" spans="1:7" ht="25">
      <c r="A206" s="244">
        <v>30</v>
      </c>
      <c r="B206" s="15" t="s">
        <v>534</v>
      </c>
      <c r="C206" s="110">
        <v>7.7374086889657834</v>
      </c>
      <c r="D206" s="244" t="s">
        <v>1323</v>
      </c>
      <c r="E206" s="2" t="s">
        <v>670</v>
      </c>
      <c r="F206" s="2" t="s">
        <v>1521</v>
      </c>
      <c r="G206" s="244">
        <v>27.5</v>
      </c>
    </row>
    <row r="207" spans="1:7" ht="25">
      <c r="A207" s="244">
        <v>35</v>
      </c>
      <c r="B207" s="15" t="s">
        <v>1525</v>
      </c>
      <c r="C207" s="110">
        <v>7.7374086889657843</v>
      </c>
      <c r="D207" s="244" t="s">
        <v>1323</v>
      </c>
      <c r="E207" s="2" t="s">
        <v>670</v>
      </c>
      <c r="F207" s="2" t="s">
        <v>1521</v>
      </c>
      <c r="G207" s="244">
        <v>32.5</v>
      </c>
    </row>
    <row r="208" spans="1:7" ht="25">
      <c r="A208" s="244">
        <v>40</v>
      </c>
      <c r="B208" s="15" t="s">
        <v>1526</v>
      </c>
      <c r="C208" s="110">
        <v>7.7374086889657834</v>
      </c>
      <c r="D208" s="244" t="s">
        <v>1323</v>
      </c>
      <c r="E208" s="2" t="s">
        <v>670</v>
      </c>
      <c r="F208" s="2" t="s">
        <v>1521</v>
      </c>
      <c r="G208" s="244">
        <v>37.5</v>
      </c>
    </row>
    <row r="209" spans="1:7" ht="25">
      <c r="A209" s="244">
        <v>45</v>
      </c>
      <c r="B209" s="15" t="s">
        <v>1527</v>
      </c>
      <c r="C209" s="110">
        <v>7.7374086889657825</v>
      </c>
      <c r="D209" s="244" t="s">
        <v>1323</v>
      </c>
      <c r="E209" s="2" t="s">
        <v>670</v>
      </c>
      <c r="F209" s="2" t="s">
        <v>1521</v>
      </c>
      <c r="G209" s="244">
        <v>42.5</v>
      </c>
    </row>
    <row r="210" spans="1:7" ht="25">
      <c r="A210" s="244">
        <v>50</v>
      </c>
      <c r="B210" s="15" t="s">
        <v>1528</v>
      </c>
      <c r="C210" s="110">
        <v>7.7374086889657825</v>
      </c>
      <c r="D210" s="244" t="s">
        <v>1323</v>
      </c>
      <c r="E210" s="2" t="s">
        <v>670</v>
      </c>
      <c r="F210" s="2" t="s">
        <v>1521</v>
      </c>
      <c r="G210" s="244">
        <v>47.5</v>
      </c>
    </row>
    <row r="211" spans="1:7" ht="25">
      <c r="A211" s="244">
        <v>60</v>
      </c>
      <c r="B211" s="15" t="s">
        <v>1529</v>
      </c>
      <c r="C211" s="110">
        <v>7.1607074202229928</v>
      </c>
      <c r="D211" s="244" t="s">
        <v>1323</v>
      </c>
      <c r="E211" s="2" t="s">
        <v>670</v>
      </c>
      <c r="F211" s="2" t="s">
        <v>1521</v>
      </c>
      <c r="G211" s="244">
        <v>55</v>
      </c>
    </row>
    <row r="212" spans="1:7" ht="25">
      <c r="A212" s="244">
        <v>70</v>
      </c>
      <c r="B212" s="15" t="s">
        <v>1530</v>
      </c>
      <c r="C212" s="110">
        <v>6.7487779425495704</v>
      </c>
      <c r="D212" s="244" t="s">
        <v>1323</v>
      </c>
      <c r="E212" s="2" t="s">
        <v>670</v>
      </c>
      <c r="F212" s="2" t="s">
        <v>1521</v>
      </c>
      <c r="G212" s="244">
        <v>65</v>
      </c>
    </row>
    <row r="213" spans="1:7" ht="25">
      <c r="A213" s="244">
        <v>80</v>
      </c>
      <c r="B213" s="15" t="s">
        <v>1531</v>
      </c>
      <c r="C213" s="110">
        <v>6.4398308342945025</v>
      </c>
      <c r="D213" s="244" t="s">
        <v>1323</v>
      </c>
      <c r="E213" s="2" t="s">
        <v>670</v>
      </c>
      <c r="F213" s="2" t="s">
        <v>1521</v>
      </c>
      <c r="G213" s="244">
        <v>75</v>
      </c>
    </row>
    <row r="214" spans="1:7" ht="25">
      <c r="A214" s="244">
        <v>90</v>
      </c>
      <c r="B214" s="15" t="s">
        <v>1532</v>
      </c>
      <c r="C214" s="110">
        <v>6.1995386389850067</v>
      </c>
      <c r="D214" s="244" t="s">
        <v>1323</v>
      </c>
      <c r="E214" s="2" t="s">
        <v>670</v>
      </c>
      <c r="F214" s="2" t="s">
        <v>1521</v>
      </c>
      <c r="G214" s="244">
        <v>85</v>
      </c>
    </row>
    <row r="215" spans="1:7" ht="25">
      <c r="A215" s="244">
        <v>100</v>
      </c>
      <c r="B215" s="15" t="s">
        <v>1533</v>
      </c>
      <c r="C215" s="110">
        <v>6.0073048827374089</v>
      </c>
      <c r="D215" s="244" t="s">
        <v>1323</v>
      </c>
      <c r="E215" s="2" t="s">
        <v>670</v>
      </c>
      <c r="F215" s="2" t="s">
        <v>1521</v>
      </c>
      <c r="G215" s="244">
        <v>95</v>
      </c>
    </row>
    <row r="216" spans="1:7" ht="25">
      <c r="A216" s="244">
        <v>150</v>
      </c>
      <c r="B216" s="15" t="s">
        <v>1534</v>
      </c>
      <c r="C216" s="110">
        <v>4.507881584006153</v>
      </c>
      <c r="D216" s="244" t="s">
        <v>1323</v>
      </c>
      <c r="E216" s="2" t="s">
        <v>670</v>
      </c>
      <c r="F216" s="2" t="s">
        <v>1521</v>
      </c>
      <c r="G216" s="244">
        <v>125</v>
      </c>
    </row>
    <row r="217" spans="1:7" ht="25">
      <c r="A217" s="244">
        <v>200</v>
      </c>
      <c r="B217" s="15" t="s">
        <v>1535</v>
      </c>
      <c r="C217" s="110">
        <v>3.7581699346405228</v>
      </c>
      <c r="D217" s="244" t="s">
        <v>1323</v>
      </c>
      <c r="E217" s="2" t="s">
        <v>670</v>
      </c>
      <c r="F217" s="2" t="s">
        <v>1521</v>
      </c>
      <c r="G217" s="244">
        <v>175</v>
      </c>
    </row>
    <row r="218" spans="1:7" ht="25">
      <c r="A218" s="244">
        <v>250</v>
      </c>
      <c r="B218" s="15" t="s">
        <v>1536</v>
      </c>
      <c r="C218" s="110">
        <v>3.3083429450211463</v>
      </c>
      <c r="D218" s="244" t="s">
        <v>1323</v>
      </c>
      <c r="E218" s="2" t="s">
        <v>670</v>
      </c>
      <c r="F218" s="2" t="s">
        <v>1521</v>
      </c>
      <c r="G218" s="244">
        <v>225</v>
      </c>
    </row>
    <row r="219" spans="1:7" ht="25">
      <c r="B219" s="15" t="s">
        <v>1537</v>
      </c>
      <c r="C219" s="110">
        <v>3.3083429450211463</v>
      </c>
      <c r="D219" s="244" t="s">
        <v>1323</v>
      </c>
      <c r="E219" s="2" t="s">
        <v>670</v>
      </c>
      <c r="F219" s="2" t="s">
        <v>1521</v>
      </c>
      <c r="G219" s="244">
        <v>250</v>
      </c>
    </row>
    <row r="221" spans="1:7" ht="13">
      <c r="B221" s="364" t="s">
        <v>242</v>
      </c>
      <c r="C221" s="365"/>
      <c r="D221" s="365"/>
      <c r="E221" s="367"/>
      <c r="F221" s="367"/>
    </row>
    <row r="222" spans="1:7" ht="20.149999999999999" customHeight="1">
      <c r="A222" s="244" t="s">
        <v>226</v>
      </c>
      <c r="B222" s="15" t="s">
        <v>244</v>
      </c>
      <c r="C222" s="208">
        <v>1701.191290525667</v>
      </c>
      <c r="D222" s="244" t="s">
        <v>1328</v>
      </c>
      <c r="E222" s="2" t="s">
        <v>1538</v>
      </c>
      <c r="F222" s="2" t="s">
        <v>1539</v>
      </c>
    </row>
    <row r="223" spans="1:7" ht="20.149999999999999" customHeight="1">
      <c r="A223" s="244" t="s">
        <v>226</v>
      </c>
      <c r="B223" s="15" t="s">
        <v>246</v>
      </c>
      <c r="C223" s="208">
        <v>17563.468795765948</v>
      </c>
      <c r="D223" s="244" t="s">
        <v>1328</v>
      </c>
      <c r="E223" s="2" t="s">
        <v>1538</v>
      </c>
      <c r="F223" s="2" t="s">
        <v>1539</v>
      </c>
    </row>
    <row r="224" spans="1:7" ht="20.149999999999999" customHeight="1">
      <c r="A224" s="244" t="s">
        <v>226</v>
      </c>
      <c r="B224" s="15" t="s">
        <v>248</v>
      </c>
      <c r="C224" s="208">
        <v>56396.754405593143</v>
      </c>
      <c r="D224" s="244" t="s">
        <v>1328</v>
      </c>
      <c r="E224" s="2" t="s">
        <v>1538</v>
      </c>
      <c r="F224" s="2" t="s">
        <v>1539</v>
      </c>
    </row>
    <row r="225" spans="1:6" ht="20.149999999999999" customHeight="1">
      <c r="A225" s="244" t="s">
        <v>215</v>
      </c>
      <c r="B225" s="15" t="s">
        <v>244</v>
      </c>
      <c r="C225" s="208">
        <v>4795.8030455049229</v>
      </c>
      <c r="D225" s="244" t="s">
        <v>1328</v>
      </c>
      <c r="E225" s="2" t="s">
        <v>1540</v>
      </c>
      <c r="F225" s="2" t="s">
        <v>1539</v>
      </c>
    </row>
    <row r="226" spans="1:6" ht="20.149999999999999" customHeight="1">
      <c r="A226" s="244" t="s">
        <v>215</v>
      </c>
      <c r="B226" s="15" t="s">
        <v>246</v>
      </c>
      <c r="C226" s="208">
        <v>20658.080550745202</v>
      </c>
      <c r="D226" s="244" t="s">
        <v>1328</v>
      </c>
      <c r="E226" s="2" t="s">
        <v>1540</v>
      </c>
      <c r="F226" s="2" t="s">
        <v>1539</v>
      </c>
    </row>
    <row r="227" spans="1:6" ht="20.149999999999999" customHeight="1">
      <c r="A227" s="244" t="s">
        <v>215</v>
      </c>
      <c r="B227" s="15" t="s">
        <v>248</v>
      </c>
      <c r="C227" s="208">
        <v>62585.977915551652</v>
      </c>
      <c r="D227" s="244" t="s">
        <v>1328</v>
      </c>
      <c r="E227" s="2" t="s">
        <v>1540</v>
      </c>
      <c r="F227" s="2" t="s">
        <v>1539</v>
      </c>
    </row>
    <row r="228" spans="1:6" ht="20.149999999999999" customHeight="1">
      <c r="A228" s="244" t="s">
        <v>217</v>
      </c>
      <c r="B228" s="15" t="s">
        <v>244</v>
      </c>
      <c r="C228" s="208">
        <v>5985.8030455049229</v>
      </c>
      <c r="D228" s="244" t="s">
        <v>1328</v>
      </c>
      <c r="E228" s="2" t="s">
        <v>1541</v>
      </c>
      <c r="F228" s="2" t="s">
        <v>1539</v>
      </c>
    </row>
    <row r="229" spans="1:6" ht="20.149999999999999" customHeight="1">
      <c r="A229" s="244" t="s">
        <v>217</v>
      </c>
      <c r="B229" s="15" t="s">
        <v>246</v>
      </c>
      <c r="C229" s="208">
        <v>21848.080550745202</v>
      </c>
      <c r="D229" s="244" t="s">
        <v>1328</v>
      </c>
      <c r="E229" s="2" t="s">
        <v>1541</v>
      </c>
      <c r="F229" s="2" t="s">
        <v>1539</v>
      </c>
    </row>
    <row r="230" spans="1:6" ht="20.149999999999999" customHeight="1">
      <c r="A230" s="244" t="s">
        <v>217</v>
      </c>
      <c r="B230" s="15" t="s">
        <v>248</v>
      </c>
      <c r="C230" s="208">
        <v>64965.977915551659</v>
      </c>
      <c r="D230" s="244" t="s">
        <v>1328</v>
      </c>
      <c r="E230" s="2" t="s">
        <v>1541</v>
      </c>
      <c r="F230" s="2" t="s">
        <v>1539</v>
      </c>
    </row>
    <row r="232" spans="1:6" ht="13">
      <c r="B232" s="364" t="s">
        <v>671</v>
      </c>
      <c r="C232" s="365"/>
      <c r="D232" s="365"/>
      <c r="E232" s="367"/>
      <c r="F232" s="367"/>
    </row>
    <row r="233" spans="1:6" ht="30" customHeight="1">
      <c r="B233" s="15" t="s">
        <v>1542</v>
      </c>
      <c r="C233" s="110">
        <v>4.5837402473971629</v>
      </c>
      <c r="D233" s="244" t="s">
        <v>302</v>
      </c>
      <c r="E233" s="2" t="s">
        <v>672</v>
      </c>
      <c r="F233" s="2" t="s">
        <v>1543</v>
      </c>
    </row>
    <row r="234" spans="1:6" ht="30" customHeight="1">
      <c r="B234" s="15" t="s">
        <v>1544</v>
      </c>
      <c r="C234" s="110">
        <v>4.6233250224836677</v>
      </c>
      <c r="D234" s="244" t="s">
        <v>302</v>
      </c>
      <c r="E234" s="2" t="s">
        <v>672</v>
      </c>
      <c r="F234" s="2" t="s">
        <v>1543</v>
      </c>
    </row>
    <row r="235" spans="1:6" ht="30" customHeight="1">
      <c r="B235" s="15" t="s">
        <v>557</v>
      </c>
      <c r="C235" s="110">
        <v>5.3079018922489523</v>
      </c>
      <c r="D235" s="244" t="s">
        <v>302</v>
      </c>
      <c r="E235" s="2" t="s">
        <v>672</v>
      </c>
      <c r="F235" s="2" t="s">
        <v>1543</v>
      </c>
    </row>
    <row r="236" spans="1:6" ht="30" customHeight="1">
      <c r="B236" s="15" t="s">
        <v>306</v>
      </c>
      <c r="C236" s="110">
        <v>5.9924787620142368</v>
      </c>
      <c r="D236" s="244" t="s">
        <v>302</v>
      </c>
      <c r="E236" s="2" t="s">
        <v>672</v>
      </c>
      <c r="F236" s="2" t="s">
        <v>1543</v>
      </c>
    </row>
    <row r="237" spans="1:6" ht="30" customHeight="1">
      <c r="B237" s="15" t="s">
        <v>1545</v>
      </c>
      <c r="C237" s="110">
        <v>6.0320635371007416</v>
      </c>
      <c r="D237" s="244" t="s">
        <v>302</v>
      </c>
      <c r="E237" s="2" t="s">
        <v>672</v>
      </c>
      <c r="F237" s="2" t="s">
        <v>1543</v>
      </c>
    </row>
    <row r="238" spans="1:6" ht="30" customHeight="1">
      <c r="B238" s="15" t="s">
        <v>1546</v>
      </c>
      <c r="C238" s="110">
        <v>6.5403680353706379</v>
      </c>
      <c r="D238" s="244" t="s">
        <v>302</v>
      </c>
      <c r="E238" s="2" t="s">
        <v>672</v>
      </c>
      <c r="F238" s="2" t="s">
        <v>1543</v>
      </c>
    </row>
    <row r="239" spans="1:6" ht="30" customHeight="1">
      <c r="B239" s="15" t="s">
        <v>1547</v>
      </c>
      <c r="C239" s="110">
        <v>7.0486725336405343</v>
      </c>
      <c r="D239" s="244" t="s">
        <v>302</v>
      </c>
      <c r="E239" s="2" t="s">
        <v>672</v>
      </c>
      <c r="F239" s="2" t="s">
        <v>1543</v>
      </c>
    </row>
    <row r="240" spans="1:6" ht="30" customHeight="1">
      <c r="B240" s="15" t="s">
        <v>1548</v>
      </c>
      <c r="C240" s="110">
        <v>7.5569770319104306</v>
      </c>
      <c r="D240" s="244" t="s">
        <v>302</v>
      </c>
      <c r="E240" s="2" t="s">
        <v>672</v>
      </c>
      <c r="F240" s="2" t="s">
        <v>1543</v>
      </c>
    </row>
    <row r="241" spans="2:6" ht="30" customHeight="1">
      <c r="B241" s="15" t="s">
        <v>1549</v>
      </c>
      <c r="C241" s="110">
        <v>8.5735860284502223</v>
      </c>
      <c r="D241" s="244" t="s">
        <v>302</v>
      </c>
      <c r="E241" s="2" t="s">
        <v>672</v>
      </c>
      <c r="F241" s="2" t="s">
        <v>1543</v>
      </c>
    </row>
    <row r="242" spans="2:6" ht="30" customHeight="1">
      <c r="B242" s="15" t="s">
        <v>1550</v>
      </c>
      <c r="C242" s="110">
        <v>9.5901950249900167</v>
      </c>
      <c r="D242" s="244" t="s">
        <v>302</v>
      </c>
      <c r="E242" s="2" t="s">
        <v>672</v>
      </c>
      <c r="F242" s="2" t="s">
        <v>1543</v>
      </c>
    </row>
    <row r="243" spans="2:6" ht="30" customHeight="1">
      <c r="B243" s="15" t="s">
        <v>505</v>
      </c>
      <c r="C243" s="110">
        <v>10.098499523259912</v>
      </c>
      <c r="D243" s="244" t="s">
        <v>302</v>
      </c>
      <c r="E243" s="2" t="s">
        <v>672</v>
      </c>
      <c r="F243" s="2" t="s">
        <v>1543</v>
      </c>
    </row>
    <row r="245" spans="2:6" ht="13">
      <c r="B245" s="364" t="s">
        <v>673</v>
      </c>
      <c r="C245" s="365"/>
      <c r="D245" s="365"/>
      <c r="E245" s="367"/>
      <c r="F245" s="367"/>
    </row>
    <row r="246" spans="2:6" ht="30" customHeight="1">
      <c r="B246" s="15" t="s">
        <v>355</v>
      </c>
      <c r="C246" s="110">
        <v>4.0787824113810718</v>
      </c>
      <c r="D246" s="244" t="s">
        <v>302</v>
      </c>
      <c r="E246" s="2" t="s">
        <v>674</v>
      </c>
      <c r="F246" s="2" t="s">
        <v>1551</v>
      </c>
    </row>
    <row r="247" spans="2:6" ht="30" customHeight="1">
      <c r="B247" s="15" t="s">
        <v>359</v>
      </c>
      <c r="C247" s="110">
        <v>4.1124294702046011</v>
      </c>
      <c r="D247" s="244" t="s">
        <v>302</v>
      </c>
      <c r="E247" s="2" t="s">
        <v>674</v>
      </c>
      <c r="F247" s="2" t="s">
        <v>1551</v>
      </c>
    </row>
    <row r="248" spans="2:6" ht="30" customHeight="1">
      <c r="B248" s="15" t="s">
        <v>511</v>
      </c>
      <c r="C248" s="110">
        <v>4.6943198095050924</v>
      </c>
      <c r="D248" s="244" t="s">
        <v>302</v>
      </c>
      <c r="E248" s="2" t="s">
        <v>674</v>
      </c>
      <c r="F248" s="2" t="s">
        <v>1551</v>
      </c>
    </row>
    <row r="249" spans="2:6" ht="30" customHeight="1">
      <c r="B249" s="15" t="s">
        <v>1552</v>
      </c>
      <c r="C249" s="110">
        <v>5.2762101488055837</v>
      </c>
      <c r="D249" s="244" t="s">
        <v>302</v>
      </c>
      <c r="E249" s="2" t="s">
        <v>674</v>
      </c>
      <c r="F249" s="2" t="s">
        <v>1551</v>
      </c>
    </row>
    <row r="250" spans="2:6" ht="30" customHeight="1">
      <c r="B250" s="15" t="s">
        <v>614</v>
      </c>
      <c r="C250" s="110">
        <v>5.309857207629114</v>
      </c>
      <c r="D250" s="244" t="s">
        <v>302</v>
      </c>
      <c r="E250" s="2" t="s">
        <v>674</v>
      </c>
      <c r="F250" s="2" t="s">
        <v>1551</v>
      </c>
    </row>
    <row r="251" spans="2:6" ht="30" customHeight="1">
      <c r="B251" s="15" t="s">
        <v>1553</v>
      </c>
      <c r="C251" s="110">
        <v>5.7419160311585262</v>
      </c>
      <c r="D251" s="244" t="s">
        <v>302</v>
      </c>
      <c r="E251" s="2" t="s">
        <v>674</v>
      </c>
      <c r="F251" s="2" t="s">
        <v>1551</v>
      </c>
    </row>
    <row r="252" spans="2:6" ht="30" customHeight="1">
      <c r="B252" s="15" t="s">
        <v>1554</v>
      </c>
      <c r="C252" s="110">
        <v>6.1739748546879376</v>
      </c>
      <c r="D252" s="244" t="s">
        <v>302</v>
      </c>
      <c r="E252" s="2" t="s">
        <v>674</v>
      </c>
      <c r="F252" s="2" t="s">
        <v>1551</v>
      </c>
    </row>
    <row r="253" spans="2:6" ht="30" customHeight="1">
      <c r="B253" s="15" t="s">
        <v>1555</v>
      </c>
      <c r="C253" s="110">
        <v>6.606033678217349</v>
      </c>
      <c r="D253" s="244" t="s">
        <v>302</v>
      </c>
      <c r="E253" s="2" t="s">
        <v>674</v>
      </c>
      <c r="F253" s="2" t="s">
        <v>1551</v>
      </c>
    </row>
    <row r="254" spans="2:6" ht="30" customHeight="1">
      <c r="B254" s="15" t="s">
        <v>1556</v>
      </c>
      <c r="C254" s="110">
        <v>7.4701513252761735</v>
      </c>
      <c r="D254" s="244" t="s">
        <v>302</v>
      </c>
      <c r="E254" s="2" t="s">
        <v>674</v>
      </c>
      <c r="F254" s="2" t="s">
        <v>1551</v>
      </c>
    </row>
    <row r="255" spans="2:6" ht="30" customHeight="1">
      <c r="B255" s="15" t="s">
        <v>1557</v>
      </c>
      <c r="C255" s="110">
        <v>8.3342689723349963</v>
      </c>
      <c r="D255" s="244" t="s">
        <v>302</v>
      </c>
      <c r="E255" s="2" t="s">
        <v>674</v>
      </c>
      <c r="F255" s="2" t="s">
        <v>1551</v>
      </c>
    </row>
    <row r="256" spans="2:6" ht="30" customHeight="1">
      <c r="B256" s="15" t="s">
        <v>1558</v>
      </c>
      <c r="C256" s="110">
        <v>8.7663277958644095</v>
      </c>
      <c r="D256" s="244" t="s">
        <v>302</v>
      </c>
      <c r="E256" s="2" t="s">
        <v>674</v>
      </c>
      <c r="F256" s="2" t="s">
        <v>1551</v>
      </c>
    </row>
    <row r="258" spans="1:7" ht="13">
      <c r="B258" s="364" t="s">
        <v>675</v>
      </c>
      <c r="C258" s="365"/>
      <c r="D258" s="365"/>
      <c r="E258" s="366"/>
      <c r="F258" s="366"/>
    </row>
    <row r="259" spans="1:7" ht="20.149999999999999" customHeight="1">
      <c r="A259" s="244">
        <v>5</v>
      </c>
      <c r="B259" s="15" t="s">
        <v>1559</v>
      </c>
      <c r="C259" s="110">
        <v>0.75097612029561289</v>
      </c>
      <c r="D259" s="244" t="s">
        <v>1320</v>
      </c>
      <c r="E259" s="212" t="s">
        <v>676</v>
      </c>
      <c r="F259" s="212" t="s">
        <v>1560</v>
      </c>
      <c r="G259" s="244" cm="1">
        <f t="array" ref="G259:G277">Long_haul_distance_average_L</f>
        <v>2.5</v>
      </c>
    </row>
    <row r="260" spans="1:7" ht="20.149999999999999" customHeight="1">
      <c r="A260" s="244">
        <v>10</v>
      </c>
      <c r="B260" s="15" t="s">
        <v>1561</v>
      </c>
      <c r="C260" s="110">
        <v>0.75097612029561289</v>
      </c>
      <c r="D260" s="244" t="s">
        <v>1320</v>
      </c>
      <c r="E260" s="212" t="s">
        <v>676</v>
      </c>
      <c r="F260" s="212" t="s">
        <v>1560</v>
      </c>
      <c r="G260" s="244">
        <v>7.5</v>
      </c>
    </row>
    <row r="261" spans="1:7" ht="20.149999999999999" customHeight="1">
      <c r="A261" s="244">
        <v>15</v>
      </c>
      <c r="B261" s="15" t="s">
        <v>310</v>
      </c>
      <c r="C261" s="110">
        <v>0.42336494510658307</v>
      </c>
      <c r="D261" s="244" t="s">
        <v>1320</v>
      </c>
      <c r="E261" s="212" t="s">
        <v>676</v>
      </c>
      <c r="F261" s="212" t="s">
        <v>1560</v>
      </c>
      <c r="G261" s="244">
        <v>12.5</v>
      </c>
    </row>
    <row r="262" spans="1:7" ht="20.149999999999999" customHeight="1">
      <c r="A262" s="244">
        <v>20</v>
      </c>
      <c r="B262" s="15" t="s">
        <v>1562</v>
      </c>
      <c r="C262" s="110">
        <v>0.31664459538354189</v>
      </c>
      <c r="D262" s="244" t="s">
        <v>1320</v>
      </c>
      <c r="E262" s="212" t="s">
        <v>676</v>
      </c>
      <c r="F262" s="212" t="s">
        <v>1560</v>
      </c>
      <c r="G262" s="244">
        <v>17.5</v>
      </c>
    </row>
    <row r="263" spans="1:7" ht="20.149999999999999" customHeight="1">
      <c r="A263" s="244">
        <v>25</v>
      </c>
      <c r="B263" s="15" t="s">
        <v>321</v>
      </c>
      <c r="C263" s="110">
        <v>0.26562499999999994</v>
      </c>
      <c r="D263" s="244" t="s">
        <v>1320</v>
      </c>
      <c r="E263" s="212" t="s">
        <v>676</v>
      </c>
      <c r="F263" s="212" t="s">
        <v>1560</v>
      </c>
      <c r="G263" s="244">
        <v>22.5</v>
      </c>
    </row>
    <row r="264" spans="1:7" ht="20.149999999999999" customHeight="1">
      <c r="A264" s="244">
        <v>30</v>
      </c>
      <c r="B264" s="15" t="s">
        <v>1563</v>
      </c>
      <c r="C264" s="110">
        <v>0.23950617283950615</v>
      </c>
      <c r="D264" s="244" t="s">
        <v>1320</v>
      </c>
      <c r="E264" s="212" t="s">
        <v>676</v>
      </c>
      <c r="F264" s="212" t="s">
        <v>1560</v>
      </c>
      <c r="G264" s="244">
        <v>27.5</v>
      </c>
    </row>
    <row r="265" spans="1:7" ht="20.149999999999999" customHeight="1">
      <c r="A265" s="244">
        <v>35</v>
      </c>
      <c r="B265" s="15" t="s">
        <v>1564</v>
      </c>
      <c r="C265" s="110">
        <v>0.22209362139917693</v>
      </c>
      <c r="D265" s="244" t="s">
        <v>1320</v>
      </c>
      <c r="E265" s="212" t="s">
        <v>676</v>
      </c>
      <c r="F265" s="212" t="s">
        <v>1560</v>
      </c>
      <c r="G265" s="244">
        <v>32.5</v>
      </c>
    </row>
    <row r="266" spans="1:7" ht="20.149999999999999" customHeight="1">
      <c r="A266" s="244">
        <v>40</v>
      </c>
      <c r="B266" s="15" t="s">
        <v>1565</v>
      </c>
      <c r="C266" s="110">
        <v>0.20965608465608462</v>
      </c>
      <c r="D266" s="244" t="s">
        <v>1320</v>
      </c>
      <c r="E266" s="212" t="s">
        <v>676</v>
      </c>
      <c r="F266" s="212" t="s">
        <v>1560</v>
      </c>
      <c r="G266" s="244">
        <v>37.5</v>
      </c>
    </row>
    <row r="267" spans="1:7" ht="20.149999999999999" customHeight="1">
      <c r="A267" s="244">
        <v>45</v>
      </c>
      <c r="B267" s="15" t="s">
        <v>1566</v>
      </c>
      <c r="C267" s="110">
        <v>0.20032793209876537</v>
      </c>
      <c r="D267" s="244" t="s">
        <v>1320</v>
      </c>
      <c r="E267" s="212" t="s">
        <v>676</v>
      </c>
      <c r="F267" s="212" t="s">
        <v>1560</v>
      </c>
      <c r="G267" s="244">
        <v>42.5</v>
      </c>
    </row>
    <row r="268" spans="1:7" ht="20.149999999999999" customHeight="1">
      <c r="A268" s="244">
        <v>50</v>
      </c>
      <c r="B268" s="15" t="s">
        <v>1567</v>
      </c>
      <c r="C268" s="110">
        <v>0.19307270233196155</v>
      </c>
      <c r="D268" s="244" t="s">
        <v>1320</v>
      </c>
      <c r="E268" s="212" t="s">
        <v>676</v>
      </c>
      <c r="F268" s="212" t="s">
        <v>1560</v>
      </c>
      <c r="G268" s="244">
        <v>47.5</v>
      </c>
    </row>
    <row r="269" spans="1:7" ht="20.149999999999999" customHeight="1">
      <c r="A269" s="244">
        <v>60</v>
      </c>
      <c r="B269" s="15" t="s">
        <v>1568</v>
      </c>
      <c r="C269" s="110">
        <v>0.18726851851851847</v>
      </c>
      <c r="D269" s="244" t="s">
        <v>1320</v>
      </c>
      <c r="E269" s="212" t="s">
        <v>676</v>
      </c>
      <c r="F269" s="212" t="s">
        <v>1560</v>
      </c>
      <c r="G269" s="244">
        <v>55</v>
      </c>
    </row>
    <row r="270" spans="1:7" ht="20.149999999999999" customHeight="1">
      <c r="A270" s="244">
        <v>70</v>
      </c>
      <c r="B270" s="15" t="s">
        <v>1569</v>
      </c>
      <c r="C270" s="110">
        <v>0.16730967078189299</v>
      </c>
      <c r="D270" s="244" t="s">
        <v>1320</v>
      </c>
      <c r="E270" s="212" t="s">
        <v>676</v>
      </c>
      <c r="F270" s="212" t="s">
        <v>1560</v>
      </c>
      <c r="G270" s="244">
        <v>65</v>
      </c>
    </row>
    <row r="271" spans="1:7" ht="20.149999999999999" customHeight="1">
      <c r="A271" s="244">
        <v>80</v>
      </c>
      <c r="B271" s="15" t="s">
        <v>1570</v>
      </c>
      <c r="C271" s="110">
        <v>0.15784998095098604</v>
      </c>
      <c r="D271" s="244" t="s">
        <v>1320</v>
      </c>
      <c r="E271" s="212" t="s">
        <v>676</v>
      </c>
      <c r="F271" s="212" t="s">
        <v>1560</v>
      </c>
      <c r="G271" s="244">
        <v>75</v>
      </c>
    </row>
    <row r="272" spans="1:7" ht="20.149999999999999" customHeight="1">
      <c r="A272" s="244">
        <v>90</v>
      </c>
      <c r="B272" s="15" t="s">
        <v>1571</v>
      </c>
      <c r="C272" s="110">
        <v>0.15205286294801146</v>
      </c>
      <c r="D272" s="244" t="s">
        <v>1320</v>
      </c>
      <c r="E272" s="212" t="s">
        <v>676</v>
      </c>
      <c r="F272" s="212" t="s">
        <v>1560</v>
      </c>
      <c r="G272" s="244">
        <v>85</v>
      </c>
    </row>
    <row r="273" spans="1:7" ht="20.149999999999999" customHeight="1">
      <c r="A273" s="244">
        <v>100</v>
      </c>
      <c r="B273" s="15" t="s">
        <v>1572</v>
      </c>
      <c r="C273" s="110">
        <v>0.149048353909465</v>
      </c>
      <c r="D273" s="244" t="s">
        <v>1320</v>
      </c>
      <c r="E273" s="212" t="s">
        <v>676</v>
      </c>
      <c r="F273" s="212" t="s">
        <v>1560</v>
      </c>
      <c r="G273" s="244">
        <v>95</v>
      </c>
    </row>
    <row r="274" spans="1:7" ht="20.149999999999999" customHeight="1">
      <c r="A274" s="244">
        <v>150</v>
      </c>
      <c r="B274" s="15" t="s">
        <v>1573</v>
      </c>
      <c r="C274" s="110">
        <v>0.14764660493827159</v>
      </c>
      <c r="D274" s="244" t="s">
        <v>1320</v>
      </c>
      <c r="E274" s="212" t="s">
        <v>676</v>
      </c>
      <c r="F274" s="212" t="s">
        <v>1560</v>
      </c>
      <c r="G274" s="244">
        <v>125</v>
      </c>
    </row>
    <row r="275" spans="1:7" ht="20.149999999999999" customHeight="1">
      <c r="A275" s="244">
        <v>200</v>
      </c>
      <c r="B275" s="15" t="s">
        <v>1574</v>
      </c>
      <c r="C275" s="110">
        <v>0.14280742652907205</v>
      </c>
      <c r="D275" s="244" t="s">
        <v>1320</v>
      </c>
      <c r="E275" s="212" t="s">
        <v>676</v>
      </c>
      <c r="F275" s="212" t="s">
        <v>1560</v>
      </c>
      <c r="G275" s="244">
        <v>175</v>
      </c>
    </row>
    <row r="276" spans="1:7" ht="20.149999999999999" customHeight="1">
      <c r="A276" s="244">
        <v>250</v>
      </c>
      <c r="B276" s="15" t="s">
        <v>1575</v>
      </c>
      <c r="C276" s="110">
        <v>0.14864382644851695</v>
      </c>
      <c r="D276" s="244" t="s">
        <v>1320</v>
      </c>
      <c r="E276" s="212" t="s">
        <v>676</v>
      </c>
      <c r="F276" s="212" t="s">
        <v>1560</v>
      </c>
      <c r="G276" s="244">
        <v>225</v>
      </c>
    </row>
    <row r="277" spans="1:7" ht="20.149999999999999" customHeight="1">
      <c r="B277" s="15" t="s">
        <v>1576</v>
      </c>
      <c r="C277" s="110">
        <v>0.14150156492517124</v>
      </c>
      <c r="D277" s="244" t="s">
        <v>1320</v>
      </c>
      <c r="E277" s="212" t="s">
        <v>676</v>
      </c>
      <c r="F277" s="212" t="s">
        <v>1560</v>
      </c>
      <c r="G277" s="244">
        <v>250</v>
      </c>
    </row>
    <row r="279" spans="1:7" ht="13">
      <c r="B279" s="364" t="s">
        <v>677</v>
      </c>
      <c r="C279" s="365"/>
      <c r="D279" s="365"/>
      <c r="E279" s="366"/>
      <c r="F279" s="366"/>
    </row>
    <row r="280" spans="1:7" ht="30" customHeight="1">
      <c r="A280" s="244">
        <v>5</v>
      </c>
      <c r="B280" s="15" t="s">
        <v>1577</v>
      </c>
      <c r="C280" s="110">
        <v>3.0856770423662296</v>
      </c>
      <c r="D280" s="244" t="s">
        <v>1305</v>
      </c>
      <c r="E280" s="2" t="s">
        <v>678</v>
      </c>
      <c r="F280" s="212" t="s">
        <v>1578</v>
      </c>
      <c r="G280" s="244" cm="1">
        <f t="array" ref="G280:G298">Long_haul_distance_average_L</f>
        <v>2.5</v>
      </c>
    </row>
    <row r="281" spans="1:7" ht="30" customHeight="1">
      <c r="A281" s="244">
        <v>10</v>
      </c>
      <c r="B281" s="15" t="s">
        <v>1579</v>
      </c>
      <c r="C281" s="110">
        <v>3.0856770423662296</v>
      </c>
      <c r="D281" s="244" t="s">
        <v>1305</v>
      </c>
      <c r="E281" s="2" t="s">
        <v>678</v>
      </c>
      <c r="F281" s="212" t="s">
        <v>1578</v>
      </c>
      <c r="G281" s="244">
        <v>7.5</v>
      </c>
    </row>
    <row r="282" spans="1:7" ht="30" customHeight="1">
      <c r="A282" s="244">
        <v>15</v>
      </c>
      <c r="B282" s="15" t="s">
        <v>513</v>
      </c>
      <c r="C282" s="110">
        <v>1.7353226042757413</v>
      </c>
      <c r="D282" s="244" t="s">
        <v>1305</v>
      </c>
      <c r="E282" s="2" t="s">
        <v>678</v>
      </c>
      <c r="F282" s="212" t="s">
        <v>1578</v>
      </c>
      <c r="G282" s="244">
        <v>12.5</v>
      </c>
    </row>
    <row r="283" spans="1:7" ht="30" customHeight="1">
      <c r="A283" s="244">
        <v>20</v>
      </c>
      <c r="B283" s="15" t="s">
        <v>364</v>
      </c>
      <c r="C283" s="110">
        <v>1.4941927376370074</v>
      </c>
      <c r="D283" s="244" t="s">
        <v>1305</v>
      </c>
      <c r="E283" s="2" t="s">
        <v>678</v>
      </c>
      <c r="F283" s="212" t="s">
        <v>1578</v>
      </c>
      <c r="G283" s="244">
        <v>17.5</v>
      </c>
    </row>
    <row r="284" spans="1:7" ht="30" customHeight="1">
      <c r="A284" s="244">
        <v>25</v>
      </c>
      <c r="B284" s="15" t="s">
        <v>1580</v>
      </c>
      <c r="C284" s="110">
        <v>1.1214058782830432</v>
      </c>
      <c r="D284" s="244" t="s">
        <v>1305</v>
      </c>
      <c r="E284" s="2" t="s">
        <v>678</v>
      </c>
      <c r="F284" s="212" t="s">
        <v>1578</v>
      </c>
      <c r="G284" s="244">
        <v>22.5</v>
      </c>
    </row>
    <row r="285" spans="1:7" ht="30" customHeight="1">
      <c r="A285" s="244">
        <v>30</v>
      </c>
      <c r="B285" s="15" t="s">
        <v>1581</v>
      </c>
      <c r="C285" s="110">
        <v>1.0123700209788147</v>
      </c>
      <c r="D285" s="244" t="s">
        <v>1305</v>
      </c>
      <c r="E285" s="2" t="s">
        <v>678</v>
      </c>
      <c r="F285" s="212" t="s">
        <v>1578</v>
      </c>
      <c r="G285" s="244">
        <v>27.5</v>
      </c>
    </row>
    <row r="286" spans="1:7" ht="30" customHeight="1">
      <c r="A286" s="244">
        <v>35</v>
      </c>
      <c r="B286" s="15" t="s">
        <v>1582</v>
      </c>
      <c r="C286" s="110">
        <v>0.84783123665369098</v>
      </c>
      <c r="D286" s="244" t="s">
        <v>1305</v>
      </c>
      <c r="E286" s="2" t="s">
        <v>678</v>
      </c>
      <c r="F286" s="212" t="s">
        <v>1578</v>
      </c>
      <c r="G286" s="244">
        <v>32.5</v>
      </c>
    </row>
    <row r="287" spans="1:7" ht="30" customHeight="1">
      <c r="A287" s="244">
        <v>40</v>
      </c>
      <c r="B287" s="15" t="s">
        <v>1583</v>
      </c>
      <c r="C287" s="110">
        <v>0.80098445806407037</v>
      </c>
      <c r="D287" s="244" t="s">
        <v>1305</v>
      </c>
      <c r="E287" s="2" t="s">
        <v>678</v>
      </c>
      <c r="F287" s="212" t="s">
        <v>1578</v>
      </c>
      <c r="G287" s="244">
        <v>37.5</v>
      </c>
    </row>
    <row r="288" spans="1:7" ht="30" customHeight="1">
      <c r="A288" s="244">
        <v>45</v>
      </c>
      <c r="B288" s="15" t="s">
        <v>495</v>
      </c>
      <c r="C288" s="110">
        <v>0.70658733062141477</v>
      </c>
      <c r="D288" s="244" t="s">
        <v>1305</v>
      </c>
      <c r="E288" s="2" t="s">
        <v>678</v>
      </c>
      <c r="F288" s="212" t="s">
        <v>1578</v>
      </c>
      <c r="G288" s="244">
        <v>42.5</v>
      </c>
    </row>
    <row r="289" spans="1:7" ht="30" customHeight="1">
      <c r="A289" s="244">
        <v>50</v>
      </c>
      <c r="B289" s="15" t="s">
        <v>1584</v>
      </c>
      <c r="C289" s="110">
        <v>0.63851407377228708</v>
      </c>
      <c r="D289" s="244" t="s">
        <v>1305</v>
      </c>
      <c r="E289" s="2" t="s">
        <v>678</v>
      </c>
      <c r="F289" s="212" t="s">
        <v>1578</v>
      </c>
      <c r="G289" s="244">
        <v>47.5</v>
      </c>
    </row>
    <row r="290" spans="1:7" ht="30" customHeight="1">
      <c r="A290" s="244">
        <v>60</v>
      </c>
      <c r="B290" s="15" t="s">
        <v>1585</v>
      </c>
      <c r="C290" s="110">
        <v>0.61961269439324895</v>
      </c>
      <c r="D290" s="244" t="s">
        <v>1305</v>
      </c>
      <c r="E290" s="2" t="s">
        <v>678</v>
      </c>
      <c r="F290" s="212" t="s">
        <v>1578</v>
      </c>
      <c r="G290" s="244">
        <v>55</v>
      </c>
    </row>
    <row r="291" spans="1:7" ht="30" customHeight="1">
      <c r="A291" s="244">
        <v>70</v>
      </c>
      <c r="B291" s="15" t="s">
        <v>1586</v>
      </c>
      <c r="C291" s="110">
        <v>0.56039166323624945</v>
      </c>
      <c r="D291" s="244" t="s">
        <v>1305</v>
      </c>
      <c r="E291" s="2" t="s">
        <v>678</v>
      </c>
      <c r="F291" s="212" t="s">
        <v>1578</v>
      </c>
      <c r="G291" s="244">
        <v>65</v>
      </c>
    </row>
    <row r="292" spans="1:7" ht="30" customHeight="1">
      <c r="A292" s="244">
        <v>80</v>
      </c>
      <c r="B292" s="15" t="s">
        <v>1587</v>
      </c>
      <c r="C292" s="110">
        <v>0.49783507706497404</v>
      </c>
      <c r="D292" s="244" t="s">
        <v>1305</v>
      </c>
      <c r="E292" s="2" t="s">
        <v>678</v>
      </c>
      <c r="F292" s="212" t="s">
        <v>1578</v>
      </c>
      <c r="G292" s="244">
        <v>75</v>
      </c>
    </row>
    <row r="293" spans="1:7" ht="30" customHeight="1">
      <c r="A293" s="244">
        <v>90</v>
      </c>
      <c r="B293" s="15" t="s">
        <v>1588</v>
      </c>
      <c r="C293" s="110">
        <v>0.46876449765388983</v>
      </c>
      <c r="D293" s="244" t="s">
        <v>1305</v>
      </c>
      <c r="E293" s="2" t="s">
        <v>678</v>
      </c>
      <c r="F293" s="212" t="s">
        <v>1578</v>
      </c>
      <c r="G293" s="244">
        <v>85</v>
      </c>
    </row>
    <row r="294" spans="1:7" ht="30" customHeight="1">
      <c r="A294" s="244">
        <v>100</v>
      </c>
      <c r="B294" s="15" t="s">
        <v>1589</v>
      </c>
      <c r="C294" s="110">
        <v>0.44569283877129084</v>
      </c>
      <c r="D294" s="244" t="s">
        <v>1305</v>
      </c>
      <c r="E294" s="2" t="s">
        <v>678</v>
      </c>
      <c r="F294" s="212" t="s">
        <v>1578</v>
      </c>
      <c r="G294" s="244">
        <v>95</v>
      </c>
    </row>
    <row r="295" spans="1:7" ht="30" customHeight="1">
      <c r="A295" s="244">
        <v>150</v>
      </c>
      <c r="B295" s="15" t="s">
        <v>1590</v>
      </c>
      <c r="C295" s="110">
        <v>0.42690937156004138</v>
      </c>
      <c r="D295" s="244" t="s">
        <v>1305</v>
      </c>
      <c r="E295" s="2" t="s">
        <v>678</v>
      </c>
      <c r="F295" s="212" t="s">
        <v>1578</v>
      </c>
      <c r="G295" s="244">
        <v>125</v>
      </c>
    </row>
    <row r="296" spans="1:7" ht="30" customHeight="1">
      <c r="A296" s="244">
        <v>200</v>
      </c>
      <c r="B296" s="15" t="s">
        <v>1591</v>
      </c>
      <c r="C296" s="110">
        <v>0.36849913768311271</v>
      </c>
      <c r="D296" s="244" t="s">
        <v>1305</v>
      </c>
      <c r="E296" s="2" t="s">
        <v>678</v>
      </c>
      <c r="F296" s="212" t="s">
        <v>1578</v>
      </c>
      <c r="G296" s="244">
        <v>175</v>
      </c>
    </row>
    <row r="297" spans="1:7" ht="30" customHeight="1">
      <c r="A297" s="244">
        <v>250</v>
      </c>
      <c r="B297" s="15" t="s">
        <v>1592</v>
      </c>
      <c r="C297" s="110">
        <v>0.33481676184490022</v>
      </c>
      <c r="D297" s="244" t="s">
        <v>1305</v>
      </c>
      <c r="E297" s="2" t="s">
        <v>678</v>
      </c>
      <c r="F297" s="212" t="s">
        <v>1578</v>
      </c>
      <c r="G297" s="244">
        <v>225</v>
      </c>
    </row>
    <row r="298" spans="1:7" ht="30" customHeight="1">
      <c r="B298" s="15" t="s">
        <v>1593</v>
      </c>
      <c r="C298" s="110">
        <v>0.33344802301228388</v>
      </c>
      <c r="D298" s="244" t="s">
        <v>1305</v>
      </c>
      <c r="E298" s="2" t="s">
        <v>678</v>
      </c>
      <c r="F298" s="212" t="s">
        <v>1578</v>
      </c>
      <c r="G298" s="244">
        <v>250</v>
      </c>
    </row>
    <row r="299" spans="1:7" s="219" customFormat="1">
      <c r="E299" s="368"/>
      <c r="F299" s="368"/>
    </row>
    <row r="300" spans="1:7" ht="13">
      <c r="B300" s="364" t="s">
        <v>679</v>
      </c>
      <c r="C300" s="365"/>
      <c r="D300" s="365"/>
      <c r="E300" s="366"/>
      <c r="F300" s="366"/>
    </row>
    <row r="301" spans="1:7" ht="30" customHeight="1">
      <c r="A301" s="244">
        <v>5</v>
      </c>
      <c r="B301" s="15" t="s">
        <v>1594</v>
      </c>
      <c r="C301" s="110">
        <v>7.4733333333333336</v>
      </c>
      <c r="D301" s="244" t="s">
        <v>1305</v>
      </c>
      <c r="E301" s="2" t="s">
        <v>680</v>
      </c>
      <c r="F301" s="2" t="s">
        <v>1595</v>
      </c>
      <c r="G301" s="244" cm="1">
        <f t="array" ref="G301:G319">Long_haul_distance_average_L</f>
        <v>2.5</v>
      </c>
    </row>
    <row r="302" spans="1:7" ht="30" customHeight="1">
      <c r="A302" s="244">
        <v>10</v>
      </c>
      <c r="B302" s="15" t="s">
        <v>1596</v>
      </c>
      <c r="C302" s="110">
        <v>7.4733333333333336</v>
      </c>
      <c r="D302" s="244" t="s">
        <v>1305</v>
      </c>
      <c r="E302" s="2" t="s">
        <v>680</v>
      </c>
      <c r="F302" s="2" t="s">
        <v>1595</v>
      </c>
      <c r="G302" s="244">
        <v>7.5</v>
      </c>
    </row>
    <row r="303" spans="1:7" ht="30" customHeight="1">
      <c r="A303" s="244">
        <v>15</v>
      </c>
      <c r="B303" s="15" t="s">
        <v>1597</v>
      </c>
      <c r="C303" s="110">
        <v>3.8878716519287457</v>
      </c>
      <c r="D303" s="244" t="s">
        <v>1305</v>
      </c>
      <c r="E303" s="2" t="s">
        <v>680</v>
      </c>
      <c r="F303" s="2" t="s">
        <v>1595</v>
      </c>
      <c r="G303" s="244">
        <v>12.5</v>
      </c>
    </row>
    <row r="304" spans="1:7" ht="30" customHeight="1">
      <c r="A304" s="244">
        <v>20</v>
      </c>
      <c r="B304" s="15" t="s">
        <v>1598</v>
      </c>
      <c r="C304" s="110">
        <v>3.9736719851339233</v>
      </c>
      <c r="D304" s="244" t="s">
        <v>1305</v>
      </c>
      <c r="E304" s="2" t="s">
        <v>680</v>
      </c>
      <c r="F304" s="2" t="s">
        <v>1595</v>
      </c>
      <c r="G304" s="244">
        <v>17.5</v>
      </c>
    </row>
    <row r="305" spans="1:7" ht="30" customHeight="1">
      <c r="A305" s="244">
        <v>25</v>
      </c>
      <c r="B305" s="15" t="s">
        <v>369</v>
      </c>
      <c r="C305" s="110">
        <v>2.4064462386261694</v>
      </c>
      <c r="D305" s="244" t="s">
        <v>1305</v>
      </c>
      <c r="E305" s="2" t="s">
        <v>680</v>
      </c>
      <c r="F305" s="2" t="s">
        <v>1595</v>
      </c>
      <c r="G305" s="244">
        <v>22.5</v>
      </c>
    </row>
    <row r="306" spans="1:7" ht="30" customHeight="1">
      <c r="A306" s="244">
        <v>30</v>
      </c>
      <c r="B306" s="15" t="s">
        <v>1599</v>
      </c>
      <c r="C306" s="110">
        <v>2.0831090606177112</v>
      </c>
      <c r="D306" s="244" t="s">
        <v>1305</v>
      </c>
      <c r="E306" s="2" t="s">
        <v>680</v>
      </c>
      <c r="F306" s="2" t="s">
        <v>1595</v>
      </c>
      <c r="G306" s="244">
        <v>27.5</v>
      </c>
    </row>
    <row r="307" spans="1:7" ht="30" customHeight="1">
      <c r="A307" s="244">
        <v>35</v>
      </c>
      <c r="B307" s="15" t="s">
        <v>1600</v>
      </c>
      <c r="C307" s="110">
        <v>1.8675509419454059</v>
      </c>
      <c r="D307" s="244" t="s">
        <v>1305</v>
      </c>
      <c r="E307" s="2" t="s">
        <v>680</v>
      </c>
      <c r="F307" s="2" t="s">
        <v>1595</v>
      </c>
      <c r="G307" s="244">
        <v>32.5</v>
      </c>
    </row>
    <row r="308" spans="1:7" ht="30" customHeight="1">
      <c r="A308" s="244">
        <v>40</v>
      </c>
      <c r="B308" s="15" t="s">
        <v>1601</v>
      </c>
      <c r="C308" s="110">
        <v>1.7135808571794731</v>
      </c>
      <c r="D308" s="244" t="s">
        <v>1305</v>
      </c>
      <c r="E308" s="2" t="s">
        <v>680</v>
      </c>
      <c r="F308" s="2" t="s">
        <v>1595</v>
      </c>
      <c r="G308" s="244">
        <v>37.5</v>
      </c>
    </row>
    <row r="309" spans="1:7" ht="30" customHeight="1">
      <c r="A309" s="244">
        <v>45</v>
      </c>
      <c r="B309" s="15" t="s">
        <v>1602</v>
      </c>
      <c r="C309" s="110">
        <v>1.89843649878252</v>
      </c>
      <c r="D309" s="244" t="s">
        <v>1305</v>
      </c>
      <c r="E309" s="2" t="s">
        <v>680</v>
      </c>
      <c r="F309" s="2" t="s">
        <v>1595</v>
      </c>
      <c r="G309" s="244">
        <v>42.5</v>
      </c>
    </row>
    <row r="310" spans="1:7" ht="30" customHeight="1">
      <c r="A310" s="244">
        <v>50</v>
      </c>
      <c r="B310" s="15" t="s">
        <v>1603</v>
      </c>
      <c r="C310" s="110">
        <v>1.7917414242385412</v>
      </c>
      <c r="D310" s="244" t="s">
        <v>1305</v>
      </c>
      <c r="E310" s="2" t="s">
        <v>680</v>
      </c>
      <c r="F310" s="2" t="s">
        <v>1595</v>
      </c>
      <c r="G310" s="244">
        <v>47.5</v>
      </c>
    </row>
    <row r="311" spans="1:7" ht="30" customHeight="1">
      <c r="A311" s="244">
        <v>60</v>
      </c>
      <c r="B311" s="15" t="s">
        <v>1604</v>
      </c>
      <c r="C311" s="110">
        <v>1.3881407791874922</v>
      </c>
      <c r="D311" s="244" t="s">
        <v>1305</v>
      </c>
      <c r="E311" s="2" t="s">
        <v>680</v>
      </c>
      <c r="F311" s="2" t="s">
        <v>1595</v>
      </c>
      <c r="G311" s="244">
        <v>55</v>
      </c>
    </row>
    <row r="312" spans="1:7" ht="30" customHeight="1">
      <c r="A312" s="244">
        <v>70</v>
      </c>
      <c r="B312" s="15" t="s">
        <v>1363</v>
      </c>
      <c r="C312" s="110">
        <v>1.2839853261566068</v>
      </c>
      <c r="D312" s="244" t="s">
        <v>1305</v>
      </c>
      <c r="E312" s="2" t="s">
        <v>680</v>
      </c>
      <c r="F312" s="2" t="s">
        <v>1595</v>
      </c>
      <c r="G312" s="244">
        <v>65</v>
      </c>
    </row>
    <row r="313" spans="1:7" ht="30" customHeight="1">
      <c r="A313" s="244">
        <v>80</v>
      </c>
      <c r="B313" s="15" t="s">
        <v>1605</v>
      </c>
      <c r="C313" s="110">
        <v>1.2095885739916881</v>
      </c>
      <c r="D313" s="244" t="s">
        <v>1305</v>
      </c>
      <c r="E313" s="2" t="s">
        <v>680</v>
      </c>
      <c r="F313" s="2" t="s">
        <v>1595</v>
      </c>
      <c r="G313" s="244">
        <v>75</v>
      </c>
    </row>
    <row r="314" spans="1:7" ht="30" customHeight="1">
      <c r="A314" s="244">
        <v>90</v>
      </c>
      <c r="B314" s="15" t="s">
        <v>1606</v>
      </c>
      <c r="C314" s="110">
        <v>0.99508041778803025</v>
      </c>
      <c r="D314" s="244" t="s">
        <v>1305</v>
      </c>
      <c r="E314" s="2" t="s">
        <v>680</v>
      </c>
      <c r="F314" s="2" t="s">
        <v>1595</v>
      </c>
      <c r="G314" s="244">
        <v>85</v>
      </c>
    </row>
    <row r="315" spans="1:7" ht="30" customHeight="1">
      <c r="A315" s="244">
        <v>100</v>
      </c>
      <c r="B315" s="15" t="s">
        <v>1607</v>
      </c>
      <c r="C315" s="110">
        <v>0.95765197146396686</v>
      </c>
      <c r="D315" s="244" t="s">
        <v>1305</v>
      </c>
      <c r="E315" s="2" t="s">
        <v>680</v>
      </c>
      <c r="F315" s="2" t="s">
        <v>1595</v>
      </c>
      <c r="G315" s="244">
        <v>95</v>
      </c>
    </row>
    <row r="316" spans="1:7" ht="30" customHeight="1">
      <c r="A316" s="244">
        <v>150</v>
      </c>
      <c r="B316" s="15" t="s">
        <v>1608</v>
      </c>
      <c r="C316" s="110">
        <v>1.0382513135973344</v>
      </c>
      <c r="D316" s="244" t="s">
        <v>1305</v>
      </c>
      <c r="E316" s="2" t="s">
        <v>680</v>
      </c>
      <c r="F316" s="2" t="s">
        <v>1595</v>
      </c>
      <c r="G316" s="244">
        <v>125</v>
      </c>
    </row>
    <row r="317" spans="1:7" ht="30" customHeight="1">
      <c r="A317" s="244">
        <v>200</v>
      </c>
      <c r="B317" s="15" t="s">
        <v>1609</v>
      </c>
      <c r="C317" s="110">
        <v>0.77912181212354248</v>
      </c>
      <c r="D317" s="244" t="s">
        <v>1305</v>
      </c>
      <c r="E317" s="2" t="s">
        <v>680</v>
      </c>
      <c r="F317" s="2" t="s">
        <v>1595</v>
      </c>
      <c r="G317" s="244">
        <v>175</v>
      </c>
    </row>
    <row r="318" spans="1:7" ht="30" customHeight="1">
      <c r="A318" s="244">
        <v>250</v>
      </c>
      <c r="B318" s="15" t="s">
        <v>1610</v>
      </c>
      <c r="C318" s="110">
        <v>0.64729975650390881</v>
      </c>
      <c r="D318" s="244" t="s">
        <v>1305</v>
      </c>
      <c r="E318" s="2" t="s">
        <v>680</v>
      </c>
      <c r="F318" s="2" t="s">
        <v>1595</v>
      </c>
      <c r="G318" s="244">
        <v>225</v>
      </c>
    </row>
    <row r="319" spans="1:7" ht="30" customHeight="1">
      <c r="A319" s="244">
        <v>250</v>
      </c>
      <c r="B319" s="15" t="s">
        <v>1611</v>
      </c>
      <c r="C319" s="110">
        <v>0.62593553761373844</v>
      </c>
      <c r="D319" s="244" t="s">
        <v>1305</v>
      </c>
      <c r="E319" s="2" t="s">
        <v>680</v>
      </c>
      <c r="F319" s="2" t="s">
        <v>1595</v>
      </c>
      <c r="G319" s="244">
        <v>250</v>
      </c>
    </row>
    <row r="320" spans="1:7" s="219" customFormat="1">
      <c r="E320" s="368"/>
      <c r="F320" s="368"/>
    </row>
    <row r="321" spans="1:7" ht="13">
      <c r="B321" s="364" t="s">
        <v>681</v>
      </c>
      <c r="C321" s="365" t="s">
        <v>682</v>
      </c>
      <c r="D321" s="365"/>
      <c r="E321" s="366"/>
      <c r="F321" s="366"/>
    </row>
    <row r="322" spans="1:7" ht="30" customHeight="1">
      <c r="A322" s="244">
        <v>5</v>
      </c>
      <c r="B322" s="15" t="s">
        <v>1612</v>
      </c>
      <c r="C322" s="110">
        <v>10.315115465260003</v>
      </c>
      <c r="D322" s="244" t="s">
        <v>1321</v>
      </c>
      <c r="E322" s="2" t="s">
        <v>683</v>
      </c>
      <c r="F322" s="2" t="s">
        <v>1613</v>
      </c>
      <c r="G322" s="244" cm="1">
        <f t="array" ref="G322:G340">Long_haul_distance_average_L</f>
        <v>2.5</v>
      </c>
    </row>
    <row r="323" spans="1:7" ht="30" customHeight="1">
      <c r="A323" s="244">
        <v>10</v>
      </c>
      <c r="B323" s="15" t="s">
        <v>1614</v>
      </c>
      <c r="C323" s="110">
        <v>10.315115465260003</v>
      </c>
      <c r="D323" s="244" t="s">
        <v>1321</v>
      </c>
      <c r="E323" s="2" t="s">
        <v>683</v>
      </c>
      <c r="F323" s="2" t="s">
        <v>1613</v>
      </c>
      <c r="G323" s="244">
        <v>7.5</v>
      </c>
    </row>
    <row r="324" spans="1:7" ht="30" customHeight="1">
      <c r="A324" s="244">
        <v>15</v>
      </c>
      <c r="B324" s="15" t="s">
        <v>446</v>
      </c>
      <c r="C324" s="110">
        <v>5.1779324760132068</v>
      </c>
      <c r="D324" s="244" t="s">
        <v>1321</v>
      </c>
      <c r="E324" s="2" t="s">
        <v>683</v>
      </c>
      <c r="F324" s="2" t="s">
        <v>1613</v>
      </c>
      <c r="G324" s="244">
        <v>12.5</v>
      </c>
    </row>
    <row r="325" spans="1:7" ht="30" customHeight="1">
      <c r="A325" s="244">
        <v>20</v>
      </c>
      <c r="B325" s="15" t="s">
        <v>1615</v>
      </c>
      <c r="C325" s="110">
        <v>3.4570308369456111</v>
      </c>
      <c r="D325" s="244" t="s">
        <v>1321</v>
      </c>
      <c r="E325" s="2" t="s">
        <v>683</v>
      </c>
      <c r="F325" s="2" t="s">
        <v>1613</v>
      </c>
      <c r="G325" s="244">
        <v>17.5</v>
      </c>
    </row>
    <row r="326" spans="1:7" ht="30" customHeight="1">
      <c r="A326" s="244">
        <v>25</v>
      </c>
      <c r="B326" s="15" t="s">
        <v>1616</v>
      </c>
      <c r="C326" s="110">
        <v>2.6572214050551497</v>
      </c>
      <c r="D326" s="244" t="s">
        <v>1321</v>
      </c>
      <c r="E326" s="2" t="s">
        <v>683</v>
      </c>
      <c r="F326" s="2" t="s">
        <v>1613</v>
      </c>
      <c r="G326" s="244">
        <v>22.5</v>
      </c>
    </row>
    <row r="327" spans="1:7" ht="30" customHeight="1">
      <c r="A327" s="244">
        <v>30</v>
      </c>
      <c r="B327" s="15" t="s">
        <v>1617</v>
      </c>
      <c r="C327" s="110">
        <v>2.1684852846296905</v>
      </c>
      <c r="D327" s="244" t="s">
        <v>1321</v>
      </c>
      <c r="E327" s="2" t="s">
        <v>683</v>
      </c>
      <c r="F327" s="2" t="s">
        <v>1613</v>
      </c>
      <c r="G327" s="244">
        <v>27.5</v>
      </c>
    </row>
    <row r="328" spans="1:7" ht="30" customHeight="1">
      <c r="A328" s="244">
        <v>35</v>
      </c>
      <c r="B328" s="15" t="s">
        <v>1618</v>
      </c>
      <c r="C328" s="110">
        <v>1.9231762688068297</v>
      </c>
      <c r="D328" s="244" t="s">
        <v>1321</v>
      </c>
      <c r="E328" s="2" t="s">
        <v>683</v>
      </c>
      <c r="F328" s="2" t="s">
        <v>1613</v>
      </c>
      <c r="G328" s="244">
        <v>32.5</v>
      </c>
    </row>
    <row r="329" spans="1:7" ht="30" customHeight="1">
      <c r="A329" s="244">
        <v>40</v>
      </c>
      <c r="B329" s="15" t="s">
        <v>1619</v>
      </c>
      <c r="C329" s="110">
        <v>1.6901721305741186</v>
      </c>
      <c r="D329" s="244" t="s">
        <v>1321</v>
      </c>
      <c r="E329" s="2" t="s">
        <v>683</v>
      </c>
      <c r="F329" s="2" t="s">
        <v>1613</v>
      </c>
      <c r="G329" s="244">
        <v>37.5</v>
      </c>
    </row>
    <row r="330" spans="1:7" ht="30" customHeight="1">
      <c r="A330" s="244">
        <v>45</v>
      </c>
      <c r="B330" s="15" t="s">
        <v>1620</v>
      </c>
      <c r="C330" s="110">
        <v>1.51632977443154</v>
      </c>
      <c r="D330" s="244" t="s">
        <v>1321</v>
      </c>
      <c r="E330" s="2" t="s">
        <v>683</v>
      </c>
      <c r="F330" s="2" t="s">
        <v>1613</v>
      </c>
      <c r="G330" s="244">
        <v>42.5</v>
      </c>
    </row>
    <row r="331" spans="1:7" ht="30" customHeight="1">
      <c r="A331" s="244">
        <v>50</v>
      </c>
      <c r="B331" s="15" t="s">
        <v>1621</v>
      </c>
      <c r="C331" s="110">
        <v>1.3761789110752674</v>
      </c>
      <c r="D331" s="244" t="s">
        <v>1321</v>
      </c>
      <c r="E331" s="2" t="s">
        <v>683</v>
      </c>
      <c r="F331" s="2" t="s">
        <v>1613</v>
      </c>
      <c r="G331" s="244">
        <v>47.5</v>
      </c>
    </row>
    <row r="332" spans="1:7" ht="30" customHeight="1">
      <c r="A332" s="244">
        <v>60</v>
      </c>
      <c r="B332" s="15" t="s">
        <v>1622</v>
      </c>
      <c r="C332" s="110">
        <v>1.27003450895008</v>
      </c>
      <c r="D332" s="244" t="s">
        <v>1321</v>
      </c>
      <c r="E332" s="2" t="s">
        <v>683</v>
      </c>
      <c r="F332" s="2" t="s">
        <v>1613</v>
      </c>
      <c r="G332" s="244">
        <v>55</v>
      </c>
    </row>
    <row r="333" spans="1:7" ht="30" customHeight="1">
      <c r="A333" s="244">
        <v>70</v>
      </c>
      <c r="B333" s="15" t="s">
        <v>1623</v>
      </c>
      <c r="C333" s="110">
        <v>1.1300719484702764</v>
      </c>
      <c r="D333" s="244" t="s">
        <v>1321</v>
      </c>
      <c r="E333" s="2" t="s">
        <v>683</v>
      </c>
      <c r="F333" s="2" t="s">
        <v>1613</v>
      </c>
      <c r="G333" s="244">
        <v>65</v>
      </c>
    </row>
    <row r="334" spans="1:7" ht="30" customHeight="1">
      <c r="A334" s="244">
        <v>80</v>
      </c>
      <c r="B334" s="15" t="s">
        <v>1624</v>
      </c>
      <c r="C334" s="110">
        <v>1.011981106066143</v>
      </c>
      <c r="D334" s="244" t="s">
        <v>1321</v>
      </c>
      <c r="E334" s="2" t="s">
        <v>683</v>
      </c>
      <c r="F334" s="2" t="s">
        <v>1613</v>
      </c>
      <c r="G334" s="244">
        <v>75</v>
      </c>
    </row>
    <row r="335" spans="1:7" ht="30" customHeight="1">
      <c r="A335" s="244">
        <v>90</v>
      </c>
      <c r="B335" s="15" t="s">
        <v>1625</v>
      </c>
      <c r="C335" s="110">
        <v>0.92445345852837457</v>
      </c>
      <c r="D335" s="244" t="s">
        <v>1321</v>
      </c>
      <c r="E335" s="2" t="s">
        <v>683</v>
      </c>
      <c r="F335" s="2" t="s">
        <v>1613</v>
      </c>
      <c r="G335" s="244">
        <v>85</v>
      </c>
    </row>
    <row r="336" spans="1:7" ht="30" customHeight="1">
      <c r="A336" s="244">
        <v>100</v>
      </c>
      <c r="B336" s="15" t="s">
        <v>1626</v>
      </c>
      <c r="C336" s="110">
        <v>0.85574073612571677</v>
      </c>
      <c r="D336" s="244" t="s">
        <v>1321</v>
      </c>
      <c r="E336" s="2" t="s">
        <v>683</v>
      </c>
      <c r="F336" s="2" t="s">
        <v>1613</v>
      </c>
      <c r="G336" s="244">
        <v>95</v>
      </c>
    </row>
    <row r="337" spans="1:7" ht="30" customHeight="1">
      <c r="A337" s="244">
        <v>150</v>
      </c>
      <c r="B337" s="15" t="s">
        <v>1627</v>
      </c>
      <c r="C337" s="110">
        <v>0.80564859547445522</v>
      </c>
      <c r="D337" s="244" t="s">
        <v>1321</v>
      </c>
      <c r="E337" s="2" t="s">
        <v>683</v>
      </c>
      <c r="F337" s="2" t="s">
        <v>1613</v>
      </c>
      <c r="G337" s="244">
        <v>125</v>
      </c>
    </row>
    <row r="338" spans="1:7" ht="30" customHeight="1">
      <c r="A338" s="244">
        <v>200</v>
      </c>
      <c r="B338" s="15" t="s">
        <v>1628</v>
      </c>
      <c r="C338" s="110">
        <v>0.66480027396559072</v>
      </c>
      <c r="D338" s="244" t="s">
        <v>1321</v>
      </c>
      <c r="E338" s="2" t="s">
        <v>683</v>
      </c>
      <c r="F338" s="2" t="s">
        <v>1613</v>
      </c>
      <c r="G338" s="244">
        <v>175</v>
      </c>
    </row>
    <row r="339" spans="1:7" ht="30" customHeight="1">
      <c r="A339" s="244">
        <v>250</v>
      </c>
      <c r="B339" s="15" t="s">
        <v>1629</v>
      </c>
      <c r="C339" s="110">
        <v>0.58023396254377879</v>
      </c>
      <c r="D339" s="244" t="s">
        <v>1321</v>
      </c>
      <c r="E339" s="2" t="s">
        <v>683</v>
      </c>
      <c r="F339" s="2" t="s">
        <v>1613</v>
      </c>
      <c r="G339" s="244">
        <v>225</v>
      </c>
    </row>
    <row r="340" spans="1:7" ht="30" customHeight="1">
      <c r="B340" s="15" t="s">
        <v>1630</v>
      </c>
      <c r="C340" s="110">
        <v>0.53053186725558454</v>
      </c>
      <c r="D340" s="244" t="s">
        <v>1321</v>
      </c>
      <c r="E340" s="2" t="s">
        <v>683</v>
      </c>
      <c r="F340" s="2" t="s">
        <v>1613</v>
      </c>
      <c r="G340" s="244">
        <v>250</v>
      </c>
    </row>
    <row r="341" spans="1:7" s="219" customFormat="1">
      <c r="E341" s="368"/>
      <c r="F341" s="368"/>
    </row>
    <row r="342" spans="1:7" ht="13">
      <c r="B342" s="364" t="s">
        <v>684</v>
      </c>
      <c r="C342" s="365"/>
      <c r="D342" s="365"/>
      <c r="E342" s="366"/>
      <c r="F342" s="366"/>
    </row>
    <row r="343" spans="1:7" ht="30" customHeight="1">
      <c r="A343" s="244">
        <v>5</v>
      </c>
      <c r="B343" s="15" t="s">
        <v>1364</v>
      </c>
      <c r="C343" s="110">
        <v>290.92848904267589</v>
      </c>
      <c r="D343" s="244" t="s">
        <v>1322</v>
      </c>
      <c r="E343" s="2" t="s">
        <v>685</v>
      </c>
      <c r="F343" s="2" t="s">
        <v>1631</v>
      </c>
      <c r="G343" s="244" cm="1">
        <f t="array" ref="G343:G361">Long_haul_distance_average_L</f>
        <v>2.5</v>
      </c>
    </row>
    <row r="344" spans="1:7" ht="30" customHeight="1">
      <c r="A344" s="244">
        <v>10</v>
      </c>
      <c r="B344" s="15" t="s">
        <v>564</v>
      </c>
      <c r="C344" s="110">
        <v>153.57208765859284</v>
      </c>
      <c r="D344" s="244" t="s">
        <v>1322</v>
      </c>
      <c r="E344" s="2" t="s">
        <v>685</v>
      </c>
      <c r="F344" s="2" t="s">
        <v>1631</v>
      </c>
      <c r="G344" s="244">
        <v>7.5</v>
      </c>
    </row>
    <row r="345" spans="1:7" ht="30" customHeight="1">
      <c r="A345" s="244">
        <v>15</v>
      </c>
      <c r="B345" s="15" t="s">
        <v>541</v>
      </c>
      <c r="C345" s="110">
        <v>107.78662053056517</v>
      </c>
      <c r="D345" s="244" t="s">
        <v>1322</v>
      </c>
      <c r="E345" s="2" t="s">
        <v>685</v>
      </c>
      <c r="F345" s="2" t="s">
        <v>1631</v>
      </c>
      <c r="G345" s="244">
        <v>12.5</v>
      </c>
    </row>
    <row r="346" spans="1:7" ht="30" customHeight="1">
      <c r="A346" s="244">
        <v>20</v>
      </c>
      <c r="B346" s="15" t="s">
        <v>1632</v>
      </c>
      <c r="C346" s="110">
        <v>84.893886966551335</v>
      </c>
      <c r="D346" s="244" t="s">
        <v>1322</v>
      </c>
      <c r="E346" s="2" t="s">
        <v>685</v>
      </c>
      <c r="F346" s="2" t="s">
        <v>1631</v>
      </c>
      <c r="G346" s="244">
        <v>17.5</v>
      </c>
    </row>
    <row r="347" spans="1:7" ht="30" customHeight="1">
      <c r="A347" s="244">
        <v>25</v>
      </c>
      <c r="B347" s="15" t="s">
        <v>1633</v>
      </c>
      <c r="C347" s="110">
        <v>71.158246828143021</v>
      </c>
      <c r="D347" s="244" t="s">
        <v>1322</v>
      </c>
      <c r="E347" s="2" t="s">
        <v>685</v>
      </c>
      <c r="F347" s="2" t="s">
        <v>1631</v>
      </c>
      <c r="G347" s="244">
        <v>22.5</v>
      </c>
    </row>
    <row r="348" spans="1:7" ht="30" customHeight="1">
      <c r="A348" s="244">
        <v>30</v>
      </c>
      <c r="B348" s="15" t="s">
        <v>1634</v>
      </c>
      <c r="C348" s="110">
        <v>62.00115340253749</v>
      </c>
      <c r="D348" s="244" t="s">
        <v>1322</v>
      </c>
      <c r="E348" s="2" t="s">
        <v>685</v>
      </c>
      <c r="F348" s="2" t="s">
        <v>1631</v>
      </c>
      <c r="G348" s="244">
        <v>27.5</v>
      </c>
    </row>
    <row r="349" spans="1:7" ht="30" customHeight="1">
      <c r="A349" s="244">
        <v>35</v>
      </c>
      <c r="B349" s="15" t="s">
        <v>1635</v>
      </c>
      <c r="C349" s="110">
        <v>55.460372384247826</v>
      </c>
      <c r="D349" s="244" t="s">
        <v>1322</v>
      </c>
      <c r="E349" s="2" t="s">
        <v>685</v>
      </c>
      <c r="F349" s="2" t="s">
        <v>1631</v>
      </c>
      <c r="G349" s="244">
        <v>32.5</v>
      </c>
    </row>
    <row r="350" spans="1:7" ht="30" customHeight="1">
      <c r="A350" s="244">
        <v>40</v>
      </c>
      <c r="B350" s="15" t="s">
        <v>1370</v>
      </c>
      <c r="C350" s="110">
        <v>50.554786620530571</v>
      </c>
      <c r="D350" s="244" t="s">
        <v>1322</v>
      </c>
      <c r="E350" s="2" t="s">
        <v>685</v>
      </c>
      <c r="F350" s="2" t="s">
        <v>1631</v>
      </c>
      <c r="G350" s="244">
        <v>37.5</v>
      </c>
    </row>
    <row r="351" spans="1:7" ht="30" customHeight="1">
      <c r="A351" s="244">
        <v>45</v>
      </c>
      <c r="B351" s="15" t="s">
        <v>1636</v>
      </c>
      <c r="C351" s="110">
        <v>46.739331026528262</v>
      </c>
      <c r="D351" s="244" t="s">
        <v>1322</v>
      </c>
      <c r="E351" s="2" t="s">
        <v>685</v>
      </c>
      <c r="F351" s="2" t="s">
        <v>1631</v>
      </c>
      <c r="G351" s="244">
        <v>42.5</v>
      </c>
    </row>
    <row r="352" spans="1:7" ht="30" customHeight="1">
      <c r="A352" s="244">
        <v>50</v>
      </c>
      <c r="B352" s="15" t="s">
        <v>1637</v>
      </c>
      <c r="C352" s="110">
        <v>43.686966551326414</v>
      </c>
      <c r="D352" s="244" t="s">
        <v>1322</v>
      </c>
      <c r="E352" s="2" t="s">
        <v>685</v>
      </c>
      <c r="F352" s="2" t="s">
        <v>1631</v>
      </c>
      <c r="G352" s="244">
        <v>47.5</v>
      </c>
    </row>
    <row r="353" spans="1:7" ht="30" customHeight="1">
      <c r="A353" s="244">
        <v>60</v>
      </c>
      <c r="B353" s="15" t="s">
        <v>1638</v>
      </c>
      <c r="C353" s="110">
        <v>39.108419838523645</v>
      </c>
      <c r="D353" s="244" t="s">
        <v>1322</v>
      </c>
      <c r="E353" s="2" t="s">
        <v>685</v>
      </c>
      <c r="F353" s="2" t="s">
        <v>1631</v>
      </c>
      <c r="G353" s="244">
        <v>55</v>
      </c>
    </row>
    <row r="354" spans="1:7" ht="30" customHeight="1">
      <c r="A354" s="244">
        <v>70</v>
      </c>
      <c r="B354" s="15" t="s">
        <v>1371</v>
      </c>
      <c r="C354" s="110">
        <v>35.838029329378806</v>
      </c>
      <c r="D354" s="244" t="s">
        <v>1322</v>
      </c>
      <c r="E354" s="2" t="s">
        <v>685</v>
      </c>
      <c r="F354" s="2" t="s">
        <v>1631</v>
      </c>
      <c r="G354" s="244">
        <v>65</v>
      </c>
    </row>
    <row r="355" spans="1:7" ht="30" customHeight="1">
      <c r="A355" s="244">
        <v>80</v>
      </c>
      <c r="B355" s="15" t="s">
        <v>1639</v>
      </c>
      <c r="C355" s="110">
        <v>33.385236447520185</v>
      </c>
      <c r="D355" s="244" t="s">
        <v>1322</v>
      </c>
      <c r="E355" s="2" t="s">
        <v>685</v>
      </c>
      <c r="F355" s="2" t="s">
        <v>1631</v>
      </c>
      <c r="G355" s="244">
        <v>75</v>
      </c>
    </row>
    <row r="356" spans="1:7" ht="30" customHeight="1">
      <c r="A356" s="244">
        <v>90</v>
      </c>
      <c r="B356" s="15" t="s">
        <v>1640</v>
      </c>
      <c r="C356" s="110">
        <v>31.477508650519034</v>
      </c>
      <c r="D356" s="244" t="s">
        <v>1322</v>
      </c>
      <c r="E356" s="2" t="s">
        <v>685</v>
      </c>
      <c r="F356" s="2" t="s">
        <v>1631</v>
      </c>
      <c r="G356" s="244">
        <v>85</v>
      </c>
    </row>
    <row r="357" spans="1:7" ht="30" customHeight="1">
      <c r="A357" s="244">
        <v>100</v>
      </c>
      <c r="B357" s="15" t="s">
        <v>1641</v>
      </c>
      <c r="C357" s="110">
        <v>29.951326412918107</v>
      </c>
      <c r="D357" s="244" t="s">
        <v>1322</v>
      </c>
      <c r="E357" s="2" t="s">
        <v>685</v>
      </c>
      <c r="F357" s="2" t="s">
        <v>1631</v>
      </c>
      <c r="G357" s="244">
        <v>95</v>
      </c>
    </row>
    <row r="358" spans="1:7" ht="30" customHeight="1">
      <c r="A358" s="244">
        <v>150</v>
      </c>
      <c r="B358" s="15" t="s">
        <v>1642</v>
      </c>
      <c r="C358" s="110">
        <v>25.372779700115345</v>
      </c>
      <c r="D358" s="244" t="s">
        <v>1322</v>
      </c>
      <c r="E358" s="2" t="s">
        <v>685</v>
      </c>
      <c r="F358" s="2" t="s">
        <v>1631</v>
      </c>
      <c r="G358" s="244">
        <v>125</v>
      </c>
    </row>
    <row r="359" spans="1:7" ht="30" customHeight="1">
      <c r="A359" s="244">
        <v>200</v>
      </c>
      <c r="B359" s="15" t="s">
        <v>1643</v>
      </c>
      <c r="C359" s="110">
        <v>23.08350634371396</v>
      </c>
      <c r="D359" s="244" t="s">
        <v>1322</v>
      </c>
      <c r="E359" s="2" t="s">
        <v>685</v>
      </c>
      <c r="F359" s="2" t="s">
        <v>1631</v>
      </c>
      <c r="G359" s="244">
        <v>175</v>
      </c>
    </row>
    <row r="360" spans="1:7" ht="30" customHeight="1">
      <c r="A360" s="244">
        <v>250</v>
      </c>
      <c r="B360" s="15" t="s">
        <v>1644</v>
      </c>
      <c r="C360" s="110">
        <v>21.709942329873126</v>
      </c>
      <c r="D360" s="244" t="s">
        <v>1322</v>
      </c>
      <c r="E360" s="2" t="s">
        <v>685</v>
      </c>
      <c r="F360" s="2" t="s">
        <v>1631</v>
      </c>
      <c r="G360" s="244">
        <v>225</v>
      </c>
    </row>
    <row r="361" spans="1:7" ht="30" customHeight="1">
      <c r="B361" s="15" t="s">
        <v>1365</v>
      </c>
      <c r="C361" s="110">
        <v>21.709942329873126</v>
      </c>
      <c r="D361" s="244" t="s">
        <v>1322</v>
      </c>
      <c r="E361" s="2" t="s">
        <v>685</v>
      </c>
      <c r="F361" s="2" t="s">
        <v>1631</v>
      </c>
      <c r="G361" s="244">
        <v>250</v>
      </c>
    </row>
    <row r="363" spans="1:7" ht="13">
      <c r="B363" s="364" t="s">
        <v>686</v>
      </c>
      <c r="C363" s="365"/>
      <c r="D363" s="365"/>
      <c r="E363" s="367"/>
      <c r="F363" s="367"/>
    </row>
    <row r="364" spans="1:7" ht="50.15" customHeight="1">
      <c r="B364" s="15" t="s">
        <v>1312</v>
      </c>
      <c r="C364" s="36">
        <v>18932.394022839806</v>
      </c>
      <c r="D364" s="244" t="s">
        <v>1316</v>
      </c>
      <c r="E364" s="2" t="s">
        <v>687</v>
      </c>
      <c r="F364" s="2" t="s">
        <v>1645</v>
      </c>
    </row>
    <row r="365" spans="1:7" ht="50.15" customHeight="1">
      <c r="B365" s="15" t="s">
        <v>1313</v>
      </c>
      <c r="C365" s="36">
        <v>5097.3254872242924</v>
      </c>
      <c r="D365" s="244" t="s">
        <v>1316</v>
      </c>
      <c r="E365" s="2" t="s">
        <v>688</v>
      </c>
      <c r="F365" s="2" t="s">
        <v>1646</v>
      </c>
    </row>
    <row r="367" spans="1:7" ht="13">
      <c r="B367" s="364" t="s">
        <v>376</v>
      </c>
      <c r="C367" s="365"/>
      <c r="D367" s="365"/>
      <c r="E367" s="367"/>
      <c r="F367" s="367"/>
    </row>
    <row r="368" spans="1:7" ht="30" customHeight="1">
      <c r="B368" s="111" t="s">
        <v>379</v>
      </c>
      <c r="C368" s="36">
        <v>38000</v>
      </c>
      <c r="D368" s="244" t="s">
        <v>380</v>
      </c>
      <c r="E368" s="2" t="s">
        <v>689</v>
      </c>
      <c r="F368" s="2" t="s">
        <v>1647</v>
      </c>
    </row>
    <row r="369" spans="2:6" ht="30" customHeight="1">
      <c r="B369" s="111" t="s">
        <v>1648</v>
      </c>
      <c r="C369" s="36">
        <v>69000</v>
      </c>
      <c r="D369" s="244" t="s">
        <v>380</v>
      </c>
      <c r="E369" s="2" t="s">
        <v>689</v>
      </c>
      <c r="F369" s="2" t="s">
        <v>1647</v>
      </c>
    </row>
    <row r="370" spans="2:6" ht="30" customHeight="1">
      <c r="B370" s="111" t="s">
        <v>1649</v>
      </c>
      <c r="C370" s="36">
        <v>131000</v>
      </c>
      <c r="D370" s="244" t="s">
        <v>380</v>
      </c>
      <c r="E370" s="2" t="s">
        <v>689</v>
      </c>
      <c r="F370" s="2" t="s">
        <v>1647</v>
      </c>
    </row>
    <row r="371" spans="2:6" ht="30" customHeight="1">
      <c r="B371" s="111" t="s">
        <v>1650</v>
      </c>
      <c r="C371" s="36">
        <v>161000</v>
      </c>
      <c r="D371" s="244" t="s">
        <v>380</v>
      </c>
      <c r="E371" s="2" t="s">
        <v>689</v>
      </c>
      <c r="F371" s="2" t="s">
        <v>1647</v>
      </c>
    </row>
    <row r="372" spans="2:6" ht="30" customHeight="1">
      <c r="B372" s="111" t="s">
        <v>517</v>
      </c>
      <c r="C372" s="36">
        <v>79000</v>
      </c>
      <c r="D372" s="244" t="s">
        <v>380</v>
      </c>
      <c r="E372" s="2" t="s">
        <v>689</v>
      </c>
      <c r="F372" s="2" t="s">
        <v>1651</v>
      </c>
    </row>
    <row r="373" spans="2:6" ht="30" customHeight="1">
      <c r="B373" s="111" t="s">
        <v>1652</v>
      </c>
      <c r="C373" s="36">
        <v>145000</v>
      </c>
      <c r="D373" s="244" t="s">
        <v>380</v>
      </c>
      <c r="E373" s="2" t="s">
        <v>689</v>
      </c>
      <c r="F373" s="2" t="s">
        <v>1651</v>
      </c>
    </row>
    <row r="374" spans="2:6" ht="30" customHeight="1">
      <c r="B374" s="111" t="s">
        <v>1653</v>
      </c>
      <c r="C374" s="36">
        <v>275000</v>
      </c>
      <c r="D374" s="244" t="s">
        <v>380</v>
      </c>
      <c r="E374" s="2" t="s">
        <v>689</v>
      </c>
      <c r="F374" s="2" t="s">
        <v>1651</v>
      </c>
    </row>
    <row r="375" spans="2:6" ht="30" customHeight="1">
      <c r="B375" s="111" t="s">
        <v>1654</v>
      </c>
      <c r="C375" s="36">
        <v>338000</v>
      </c>
      <c r="D375" s="244" t="s">
        <v>380</v>
      </c>
      <c r="E375" s="2" t="s">
        <v>689</v>
      </c>
      <c r="F375" s="2" t="s">
        <v>1651</v>
      </c>
    </row>
    <row r="376" spans="2:6" ht="30" customHeight="1">
      <c r="B376" s="111" t="s">
        <v>568</v>
      </c>
      <c r="C376" s="36">
        <v>62000</v>
      </c>
      <c r="D376" s="244" t="s">
        <v>380</v>
      </c>
      <c r="E376" s="2" t="s">
        <v>689</v>
      </c>
      <c r="F376" s="2" t="s">
        <v>1655</v>
      </c>
    </row>
    <row r="377" spans="2:6" ht="30" customHeight="1">
      <c r="B377" s="111" t="s">
        <v>1656</v>
      </c>
      <c r="C377" s="36">
        <v>113000</v>
      </c>
      <c r="D377" s="244" t="s">
        <v>380</v>
      </c>
      <c r="E377" s="2" t="s">
        <v>689</v>
      </c>
      <c r="F377" s="2" t="s">
        <v>1655</v>
      </c>
    </row>
    <row r="378" spans="2:6" ht="30" customHeight="1">
      <c r="B378" s="111" t="s">
        <v>1657</v>
      </c>
      <c r="C378" s="36">
        <v>214000</v>
      </c>
      <c r="D378" s="244" t="s">
        <v>380</v>
      </c>
      <c r="E378" s="2" t="s">
        <v>689</v>
      </c>
      <c r="F378" s="2" t="s">
        <v>1655</v>
      </c>
    </row>
    <row r="379" spans="2:6" ht="30" customHeight="1">
      <c r="B379" s="111" t="s">
        <v>1658</v>
      </c>
      <c r="C379" s="36">
        <v>263000</v>
      </c>
      <c r="D379" s="244" t="s">
        <v>380</v>
      </c>
      <c r="E379" s="2" t="s">
        <v>689</v>
      </c>
      <c r="F379" s="2" t="s">
        <v>1655</v>
      </c>
    </row>
    <row r="380" spans="2:6" ht="30" customHeight="1">
      <c r="B380" s="111" t="s">
        <v>382</v>
      </c>
      <c r="C380" s="36">
        <v>38000</v>
      </c>
      <c r="D380" s="244" t="s">
        <v>380</v>
      </c>
      <c r="E380" s="2" t="s">
        <v>689</v>
      </c>
      <c r="F380" s="2" t="s">
        <v>1647</v>
      </c>
    </row>
    <row r="381" spans="2:6" ht="30" customHeight="1">
      <c r="B381" s="111" t="s">
        <v>569</v>
      </c>
      <c r="C381" s="36">
        <v>69000</v>
      </c>
      <c r="D381" s="244" t="s">
        <v>380</v>
      </c>
      <c r="E381" s="2" t="s">
        <v>689</v>
      </c>
      <c r="F381" s="2" t="s">
        <v>1647</v>
      </c>
    </row>
    <row r="382" spans="2:6" ht="30" customHeight="1">
      <c r="B382" s="111" t="s">
        <v>1659</v>
      </c>
      <c r="C382" s="36">
        <v>131000</v>
      </c>
      <c r="D382" s="244" t="s">
        <v>380</v>
      </c>
      <c r="E382" s="2" t="s">
        <v>689</v>
      </c>
      <c r="F382" s="2" t="s">
        <v>1647</v>
      </c>
    </row>
    <row r="383" spans="2:6" ht="30" customHeight="1">
      <c r="B383" s="111" t="s">
        <v>1368</v>
      </c>
      <c r="C383" s="36">
        <v>161000</v>
      </c>
      <c r="D383" s="244" t="s">
        <v>380</v>
      </c>
      <c r="E383" s="2" t="s">
        <v>689</v>
      </c>
      <c r="F383" s="2" t="s">
        <v>1647</v>
      </c>
    </row>
    <row r="384" spans="2:6" ht="30" customHeight="1">
      <c r="B384" s="111" t="s">
        <v>384</v>
      </c>
      <c r="C384" s="36">
        <v>61000</v>
      </c>
      <c r="D384" s="244" t="s">
        <v>380</v>
      </c>
      <c r="E384" s="2" t="s">
        <v>689</v>
      </c>
      <c r="F384" s="2" t="s">
        <v>1660</v>
      </c>
    </row>
    <row r="385" spans="2:6" ht="30" customHeight="1">
      <c r="B385" s="111" t="s">
        <v>570</v>
      </c>
      <c r="C385" s="36">
        <v>111000</v>
      </c>
      <c r="D385" s="244" t="s">
        <v>380</v>
      </c>
      <c r="E385" s="2" t="s">
        <v>689</v>
      </c>
      <c r="F385" s="2" t="s">
        <v>1661</v>
      </c>
    </row>
    <row r="386" spans="2:6" ht="30" customHeight="1">
      <c r="B386" s="111" t="s">
        <v>1369</v>
      </c>
      <c r="C386" s="36">
        <v>211000</v>
      </c>
      <c r="D386" s="244" t="s">
        <v>380</v>
      </c>
      <c r="E386" s="2" t="s">
        <v>689</v>
      </c>
      <c r="F386" s="2" t="s">
        <v>1661</v>
      </c>
    </row>
    <row r="387" spans="2:6" ht="30" customHeight="1">
      <c r="B387" s="111" t="s">
        <v>1662</v>
      </c>
      <c r="C387" s="36">
        <v>259000</v>
      </c>
      <c r="D387" s="244" t="s">
        <v>380</v>
      </c>
      <c r="E387" s="2" t="s">
        <v>689</v>
      </c>
      <c r="F387" s="2" t="s">
        <v>1663</v>
      </c>
    </row>
    <row r="389" spans="2:6" ht="13">
      <c r="B389" s="364" t="s">
        <v>178</v>
      </c>
      <c r="C389" s="365"/>
      <c r="D389" s="365"/>
      <c r="E389" s="367"/>
      <c r="F389" s="367"/>
    </row>
    <row r="390" spans="2:6" ht="30" customHeight="1">
      <c r="B390" s="15" t="s">
        <v>178</v>
      </c>
      <c r="C390" s="36">
        <v>27748.513586103494</v>
      </c>
      <c r="D390" s="244" t="s">
        <v>1310</v>
      </c>
      <c r="E390" s="2" t="s">
        <v>690</v>
      </c>
      <c r="F390" s="2" t="s">
        <v>1664</v>
      </c>
    </row>
    <row r="392" spans="2:6" ht="13">
      <c r="B392" s="364" t="s">
        <v>691</v>
      </c>
      <c r="C392" s="365"/>
      <c r="D392" s="365"/>
      <c r="E392" s="367"/>
      <c r="F392" s="367"/>
    </row>
    <row r="393" spans="2:6" ht="30" customHeight="1">
      <c r="B393" s="15" t="s">
        <v>1349</v>
      </c>
      <c r="C393" s="36">
        <v>2586.2411242438579</v>
      </c>
      <c r="D393" s="244" t="s">
        <v>1354</v>
      </c>
      <c r="E393" s="2" t="s">
        <v>692</v>
      </c>
      <c r="F393" s="2" t="s">
        <v>1665</v>
      </c>
    </row>
    <row r="394" spans="2:6" ht="30" customHeight="1">
      <c r="B394" s="15" t="s">
        <v>1350</v>
      </c>
      <c r="C394" s="36">
        <v>36801.086205621214</v>
      </c>
      <c r="D394" s="244" t="s">
        <v>148</v>
      </c>
      <c r="E394" s="2" t="s">
        <v>693</v>
      </c>
      <c r="F394" s="2" t="s">
        <v>1666</v>
      </c>
    </row>
    <row r="395" spans="2:6" ht="30" customHeight="1">
      <c r="B395" s="15" t="s">
        <v>1351</v>
      </c>
      <c r="C395" s="36">
        <v>80801.857987901734</v>
      </c>
      <c r="D395" s="244" t="s">
        <v>389</v>
      </c>
      <c r="E395" s="2" t="s">
        <v>694</v>
      </c>
      <c r="F395" s="2" t="s">
        <v>1667</v>
      </c>
    </row>
    <row r="396" spans="2:6" ht="30" customHeight="1">
      <c r="B396" s="15" t="s">
        <v>1352</v>
      </c>
      <c r="C396" s="36">
        <v>40400.928993950867</v>
      </c>
      <c r="D396" s="244" t="s">
        <v>389</v>
      </c>
      <c r="E396" s="2" t="s">
        <v>695</v>
      </c>
      <c r="F396" s="2" t="s">
        <v>1667</v>
      </c>
    </row>
    <row r="397" spans="2:6" ht="30" customHeight="1">
      <c r="B397" s="15" t="s">
        <v>1353</v>
      </c>
      <c r="C397" s="36">
        <v>78593.857987901734</v>
      </c>
      <c r="D397" s="244" t="s">
        <v>389</v>
      </c>
      <c r="E397" s="2" t="s">
        <v>696</v>
      </c>
      <c r="F397" s="2" t="s">
        <v>1667</v>
      </c>
    </row>
    <row r="399" spans="2:6" ht="13">
      <c r="B399" s="364" t="s">
        <v>697</v>
      </c>
      <c r="C399" s="365"/>
      <c r="D399" s="365"/>
      <c r="E399" s="367"/>
      <c r="F399" s="367"/>
    </row>
    <row r="400" spans="2:6" ht="30" customHeight="1">
      <c r="B400" s="15" t="s">
        <v>328</v>
      </c>
      <c r="C400" s="208">
        <v>3436.7496736236071</v>
      </c>
      <c r="D400" s="244" t="s">
        <v>1328</v>
      </c>
      <c r="E400" s="2" t="s">
        <v>698</v>
      </c>
      <c r="F400" s="2" t="s">
        <v>1668</v>
      </c>
    </row>
    <row r="401" spans="1:6" ht="30" customHeight="1">
      <c r="B401" s="15" t="s">
        <v>1324</v>
      </c>
      <c r="C401" s="208">
        <v>3094.6117549792557</v>
      </c>
      <c r="D401" s="244" t="s">
        <v>1328</v>
      </c>
      <c r="E401" s="2" t="s">
        <v>699</v>
      </c>
      <c r="F401" s="2" t="s">
        <v>1669</v>
      </c>
    </row>
    <row r="402" spans="1:6" ht="30" customHeight="1">
      <c r="B402" s="15" t="s">
        <v>508</v>
      </c>
      <c r="C402" s="208">
        <v>4626.7496736236071</v>
      </c>
      <c r="D402" s="244" t="s">
        <v>1328</v>
      </c>
      <c r="E402" s="2" t="s">
        <v>700</v>
      </c>
      <c r="F402" s="2" t="s">
        <v>1668</v>
      </c>
    </row>
    <row r="403" spans="1:6" ht="30" customHeight="1">
      <c r="B403" s="15" t="s">
        <v>1325</v>
      </c>
      <c r="C403" s="208">
        <v>4284.6117549792561</v>
      </c>
      <c r="D403" s="244" t="s">
        <v>1328</v>
      </c>
      <c r="E403" s="2" t="s">
        <v>701</v>
      </c>
      <c r="F403" s="2" t="s">
        <v>1669</v>
      </c>
    </row>
    <row r="404" spans="1:6" ht="30" customHeight="1">
      <c r="B404" s="15" t="s">
        <v>1326</v>
      </c>
      <c r="C404" s="208">
        <v>1186.0160987739525</v>
      </c>
      <c r="D404" s="244" t="s">
        <v>1328</v>
      </c>
      <c r="E404" s="2" t="s">
        <v>702</v>
      </c>
      <c r="F404" s="2" t="s">
        <v>1670</v>
      </c>
    </row>
    <row r="405" spans="1:6" ht="30" customHeight="1">
      <c r="B405" s="15" t="s">
        <v>1327</v>
      </c>
      <c r="C405" s="208">
        <v>3910.1576393877449</v>
      </c>
      <c r="D405" s="244" t="s">
        <v>1328</v>
      </c>
      <c r="E405" s="2" t="s">
        <v>703</v>
      </c>
      <c r="F405" s="2" t="s">
        <v>1671</v>
      </c>
    </row>
    <row r="407" spans="1:6" ht="13">
      <c r="B407" s="364" t="s">
        <v>704</v>
      </c>
      <c r="C407" s="365"/>
      <c r="D407" s="365"/>
      <c r="E407" s="367"/>
      <c r="F407" s="367"/>
    </row>
    <row r="408" spans="1:6" ht="20.149999999999999" customHeight="1">
      <c r="A408" s="244" t="s">
        <v>226</v>
      </c>
      <c r="B408" s="15" t="s">
        <v>214</v>
      </c>
      <c r="C408" s="208">
        <v>298.07507946279446</v>
      </c>
      <c r="D408" s="244" t="s">
        <v>1328</v>
      </c>
      <c r="E408" s="2" t="s">
        <v>1672</v>
      </c>
      <c r="F408" s="2" t="s">
        <v>1673</v>
      </c>
    </row>
    <row r="409" spans="1:6" ht="20.149999999999999" customHeight="1">
      <c r="A409" s="244" t="s">
        <v>226</v>
      </c>
      <c r="B409" s="15" t="s">
        <v>221</v>
      </c>
      <c r="C409" s="208">
        <v>596.15015892558893</v>
      </c>
      <c r="D409" s="244" t="s">
        <v>1328</v>
      </c>
      <c r="E409" s="2" t="s">
        <v>1672</v>
      </c>
      <c r="F409" s="2" t="s">
        <v>1673</v>
      </c>
    </row>
    <row r="410" spans="1:6" ht="20.149999999999999" customHeight="1">
      <c r="A410" s="244" t="s">
        <v>226</v>
      </c>
      <c r="B410" s="15" t="s">
        <v>225</v>
      </c>
      <c r="C410" s="208">
        <v>2677.4167052488369</v>
      </c>
      <c r="D410" s="244" t="s">
        <v>1328</v>
      </c>
      <c r="E410" s="2" t="s">
        <v>1672</v>
      </c>
      <c r="F410" s="2" t="s">
        <v>1674</v>
      </c>
    </row>
    <row r="411" spans="1:6" ht="20.149999999999999" customHeight="1">
      <c r="A411" s="244" t="s">
        <v>226</v>
      </c>
      <c r="B411" s="15" t="s">
        <v>230</v>
      </c>
      <c r="C411" s="208">
        <v>5354.8334104976739</v>
      </c>
      <c r="D411" s="244" t="s">
        <v>1328</v>
      </c>
      <c r="E411" s="2" t="s">
        <v>1672</v>
      </c>
      <c r="F411" s="2" t="s">
        <v>1674</v>
      </c>
    </row>
    <row r="412" spans="1:6" ht="20.149999999999999" customHeight="1">
      <c r="A412" s="244" t="s">
        <v>226</v>
      </c>
      <c r="B412" s="15" t="s">
        <v>219</v>
      </c>
      <c r="C412" s="208">
        <v>4263.6444557728655</v>
      </c>
      <c r="D412" s="244" t="s">
        <v>1328</v>
      </c>
      <c r="E412" s="2" t="s">
        <v>1672</v>
      </c>
      <c r="F412" s="2" t="s">
        <v>1674</v>
      </c>
    </row>
    <row r="413" spans="1:6" ht="20.149999999999999" customHeight="1">
      <c r="A413" s="244" t="s">
        <v>226</v>
      </c>
      <c r="B413" s="15" t="s">
        <v>237</v>
      </c>
      <c r="C413" s="208">
        <v>8527.288911545731</v>
      </c>
      <c r="D413" s="244" t="s">
        <v>1328</v>
      </c>
      <c r="E413" s="2" t="s">
        <v>1672</v>
      </c>
      <c r="F413" s="2" t="s">
        <v>1674</v>
      </c>
    </row>
    <row r="414" spans="1:6" ht="20.149999999999999" customHeight="1">
      <c r="A414" s="244" t="s">
        <v>215</v>
      </c>
      <c r="B414" s="15" t="s">
        <v>214</v>
      </c>
      <c r="C414" s="208">
        <v>1226.4586059565711</v>
      </c>
      <c r="D414" s="244" t="s">
        <v>1328</v>
      </c>
      <c r="E414" s="2" t="s">
        <v>1675</v>
      </c>
      <c r="F414" s="2" t="s">
        <v>1673</v>
      </c>
    </row>
    <row r="415" spans="1:6" ht="20.149999999999999" customHeight="1">
      <c r="A415" s="244" t="s">
        <v>215</v>
      </c>
      <c r="B415" s="15" t="s">
        <v>221</v>
      </c>
      <c r="C415" s="208">
        <v>2452.9172119131422</v>
      </c>
      <c r="D415" s="244" t="s">
        <v>1328</v>
      </c>
      <c r="E415" s="2" t="s">
        <v>1675</v>
      </c>
      <c r="F415" s="2" t="s">
        <v>1673</v>
      </c>
    </row>
    <row r="416" spans="1:6" ht="20.149999999999999" customHeight="1">
      <c r="A416" s="244" t="s">
        <v>215</v>
      </c>
      <c r="B416" s="15" t="s">
        <v>225</v>
      </c>
      <c r="C416" s="208">
        <v>3605.8002317426135</v>
      </c>
      <c r="D416" s="244" t="s">
        <v>1328</v>
      </c>
      <c r="E416" s="2" t="s">
        <v>1675</v>
      </c>
      <c r="F416" s="2" t="s">
        <v>1674</v>
      </c>
    </row>
    <row r="417" spans="1:6" ht="20.149999999999999" customHeight="1">
      <c r="A417" s="244" t="s">
        <v>215</v>
      </c>
      <c r="B417" s="15" t="s">
        <v>230</v>
      </c>
      <c r="C417" s="208">
        <v>7211.600463485227</v>
      </c>
      <c r="D417" s="244" t="s">
        <v>1328</v>
      </c>
      <c r="E417" s="2" t="s">
        <v>1675</v>
      </c>
      <c r="F417" s="2" t="s">
        <v>1674</v>
      </c>
    </row>
    <row r="418" spans="1:6" ht="20.149999999999999" customHeight="1">
      <c r="A418" s="244" t="s">
        <v>215</v>
      </c>
      <c r="B418" s="15" t="s">
        <v>219</v>
      </c>
      <c r="C418" s="208">
        <v>5192.0279822666425</v>
      </c>
      <c r="D418" s="244" t="s">
        <v>1328</v>
      </c>
      <c r="E418" s="2" t="s">
        <v>1675</v>
      </c>
      <c r="F418" s="2" t="s">
        <v>1674</v>
      </c>
    </row>
    <row r="419" spans="1:6" ht="20.149999999999999" customHeight="1">
      <c r="A419" s="244" t="s">
        <v>215</v>
      </c>
      <c r="B419" s="15" t="s">
        <v>237</v>
      </c>
      <c r="C419" s="208">
        <v>10384.055964533285</v>
      </c>
      <c r="D419" s="244" t="s">
        <v>1328</v>
      </c>
      <c r="E419" s="2" t="s">
        <v>1675</v>
      </c>
      <c r="F419" s="2" t="s">
        <v>1674</v>
      </c>
    </row>
    <row r="420" spans="1:6" ht="20.149999999999999" customHeight="1">
      <c r="A420" s="244" t="s">
        <v>217</v>
      </c>
      <c r="B420" s="15" t="s">
        <v>214</v>
      </c>
      <c r="C420" s="208">
        <v>1583.4586059565713</v>
      </c>
      <c r="D420" s="244" t="s">
        <v>1328</v>
      </c>
      <c r="E420" s="2" t="s">
        <v>1676</v>
      </c>
      <c r="F420" s="2" t="s">
        <v>1673</v>
      </c>
    </row>
    <row r="421" spans="1:6" ht="20.149999999999999" customHeight="1">
      <c r="A421" s="244" t="s">
        <v>217</v>
      </c>
      <c r="B421" s="15" t="s">
        <v>221</v>
      </c>
      <c r="C421" s="208">
        <v>3166.9172119131426</v>
      </c>
      <c r="D421" s="244" t="s">
        <v>1328</v>
      </c>
      <c r="E421" s="2" t="s">
        <v>1676</v>
      </c>
      <c r="F421" s="2" t="s">
        <v>1673</v>
      </c>
    </row>
    <row r="422" spans="1:6" ht="20.149999999999999" customHeight="1">
      <c r="A422" s="244" t="s">
        <v>217</v>
      </c>
      <c r="B422" s="15" t="s">
        <v>225</v>
      </c>
      <c r="C422" s="208">
        <v>3962.8002317426135</v>
      </c>
      <c r="D422" s="244" t="s">
        <v>1328</v>
      </c>
      <c r="E422" s="2" t="s">
        <v>1676</v>
      </c>
      <c r="F422" s="2" t="s">
        <v>1674</v>
      </c>
    </row>
    <row r="423" spans="1:6" ht="20.149999999999999" customHeight="1">
      <c r="A423" s="244" t="s">
        <v>217</v>
      </c>
      <c r="B423" s="15" t="s">
        <v>230</v>
      </c>
      <c r="C423" s="208">
        <v>7925.600463485227</v>
      </c>
      <c r="D423" s="244" t="s">
        <v>1328</v>
      </c>
      <c r="E423" s="2" t="s">
        <v>1676</v>
      </c>
      <c r="F423" s="2" t="s">
        <v>1674</v>
      </c>
    </row>
    <row r="424" spans="1:6" ht="20.149999999999999" customHeight="1">
      <c r="A424" s="244" t="s">
        <v>217</v>
      </c>
      <c r="B424" s="15" t="s">
        <v>219</v>
      </c>
      <c r="C424" s="208">
        <v>5549.0279822666425</v>
      </c>
      <c r="D424" s="244" t="s">
        <v>1328</v>
      </c>
      <c r="E424" s="2" t="s">
        <v>1676</v>
      </c>
      <c r="F424" s="2" t="s">
        <v>1674</v>
      </c>
    </row>
    <row r="425" spans="1:6" ht="20.149999999999999" customHeight="1">
      <c r="A425" s="244" t="s">
        <v>217</v>
      </c>
      <c r="B425" s="15" t="s">
        <v>237</v>
      </c>
      <c r="C425" s="208">
        <v>11098.055964533285</v>
      </c>
      <c r="D425" s="244" t="s">
        <v>1328</v>
      </c>
      <c r="E425" s="2" t="s">
        <v>1676</v>
      </c>
      <c r="F425" s="2" t="s">
        <v>1674</v>
      </c>
    </row>
    <row r="427" spans="1:6" ht="13">
      <c r="B427" s="364" t="s">
        <v>705</v>
      </c>
      <c r="C427" s="365"/>
      <c r="D427" s="365"/>
      <c r="E427" s="366"/>
      <c r="F427" s="366"/>
    </row>
    <row r="428" spans="1:6" ht="20.149999999999999" customHeight="1">
      <c r="B428" s="113" t="s">
        <v>1288</v>
      </c>
      <c r="C428" s="110">
        <v>1.4057477918160985</v>
      </c>
      <c r="D428" s="244" t="s">
        <v>206</v>
      </c>
      <c r="E428" s="2" t="s">
        <v>706</v>
      </c>
      <c r="F428" s="2" t="s">
        <v>1677</v>
      </c>
    </row>
    <row r="429" spans="1:6" ht="20.149999999999999" customHeight="1">
      <c r="B429" s="113" t="s">
        <v>1289</v>
      </c>
      <c r="C429" s="110">
        <v>4.9112072292413833</v>
      </c>
      <c r="D429" s="244" t="s">
        <v>206</v>
      </c>
      <c r="E429" s="2" t="s">
        <v>706</v>
      </c>
      <c r="F429" s="2" t="s">
        <v>1678</v>
      </c>
    </row>
    <row r="430" spans="1:6" ht="20.149999999999999" customHeight="1">
      <c r="B430" s="113" t="s">
        <v>1290</v>
      </c>
      <c r="C430" s="110">
        <v>5.0362072292413833</v>
      </c>
      <c r="D430" s="244" t="s">
        <v>206</v>
      </c>
      <c r="E430" s="2" t="s">
        <v>706</v>
      </c>
      <c r="F430" s="2" t="s">
        <v>1679</v>
      </c>
    </row>
    <row r="431" spans="1:6" ht="20.149999999999999" customHeight="1">
      <c r="B431" s="113" t="s">
        <v>1291</v>
      </c>
      <c r="C431" s="110">
        <v>3</v>
      </c>
      <c r="D431" s="244" t="s">
        <v>206</v>
      </c>
      <c r="E431" s="2" t="s">
        <v>706</v>
      </c>
      <c r="F431" s="2" t="s">
        <v>1680</v>
      </c>
    </row>
    <row r="432" spans="1:6" ht="30" customHeight="1">
      <c r="B432" s="113" t="s">
        <v>1345</v>
      </c>
      <c r="C432" s="36">
        <v>2832.9667608686314</v>
      </c>
      <c r="D432" s="244" t="s">
        <v>627</v>
      </c>
      <c r="E432" s="2" t="s">
        <v>707</v>
      </c>
      <c r="F432" s="2" t="s">
        <v>1386</v>
      </c>
    </row>
    <row r="433" spans="2:6" ht="30" customHeight="1">
      <c r="B433" s="113" t="s">
        <v>1344</v>
      </c>
      <c r="C433" s="36">
        <v>2832.9667608686314</v>
      </c>
      <c r="D433" s="244" t="s">
        <v>627</v>
      </c>
      <c r="E433" s="2" t="s">
        <v>708</v>
      </c>
      <c r="F433" s="2" t="s">
        <v>1386</v>
      </c>
    </row>
    <row r="435" spans="2:6" ht="13">
      <c r="B435" s="364" t="s">
        <v>191</v>
      </c>
      <c r="C435" s="365"/>
      <c r="D435" s="365"/>
      <c r="E435" s="366"/>
      <c r="F435" s="366"/>
    </row>
    <row r="436" spans="2:6" ht="50.15" customHeight="1">
      <c r="B436" s="15" t="s">
        <v>194</v>
      </c>
      <c r="C436" s="36">
        <v>53521.3374886819</v>
      </c>
      <c r="D436" s="244" t="s">
        <v>1342</v>
      </c>
      <c r="E436" s="2" t="s">
        <v>709</v>
      </c>
      <c r="F436" s="2" t="s">
        <v>1681</v>
      </c>
    </row>
    <row r="437" spans="2:6" ht="50.15" customHeight="1">
      <c r="B437" s="15" t="s">
        <v>1340</v>
      </c>
      <c r="C437" s="36">
        <v>162784.11931049009</v>
      </c>
      <c r="D437" s="244" t="s">
        <v>1342</v>
      </c>
      <c r="E437" s="2" t="s">
        <v>709</v>
      </c>
      <c r="F437" s="2" t="s">
        <v>1682</v>
      </c>
    </row>
    <row r="438" spans="2:6" ht="50.15" customHeight="1">
      <c r="B438" s="15" t="s">
        <v>1341</v>
      </c>
      <c r="C438" s="36">
        <v>311885.24151071667</v>
      </c>
      <c r="D438" s="244" t="s">
        <v>1342</v>
      </c>
      <c r="E438" s="2" t="s">
        <v>709</v>
      </c>
      <c r="F438" s="2" t="s">
        <v>1683</v>
      </c>
    </row>
    <row r="439" spans="2:6">
      <c r="C439" s="287"/>
    </row>
    <row r="440" spans="2:6" ht="13">
      <c r="B440" s="364" t="s">
        <v>710</v>
      </c>
      <c r="C440" s="365"/>
      <c r="D440" s="365"/>
      <c r="E440" s="366"/>
      <c r="F440" s="366"/>
    </row>
    <row r="441" spans="2:6" ht="30" customHeight="1">
      <c r="B441" s="111" t="s">
        <v>1346</v>
      </c>
      <c r="C441" s="36">
        <v>2832.9667608686314</v>
      </c>
      <c r="D441" s="244" t="s">
        <v>627</v>
      </c>
      <c r="E441" s="2" t="s">
        <v>711</v>
      </c>
      <c r="F441" s="2" t="s">
        <v>1386</v>
      </c>
    </row>
    <row r="442" spans="2:6" ht="30" customHeight="1">
      <c r="B442" s="111" t="s">
        <v>1345</v>
      </c>
      <c r="C442" s="36">
        <v>2832.9667608686314</v>
      </c>
      <c r="D442" s="244" t="s">
        <v>627</v>
      </c>
      <c r="E442" s="2" t="s">
        <v>712</v>
      </c>
      <c r="F442" s="2" t="s">
        <v>1386</v>
      </c>
    </row>
    <row r="443" spans="2:6" ht="30" customHeight="1">
      <c r="B443" s="15" t="s">
        <v>1292</v>
      </c>
      <c r="C443" s="110">
        <v>30.149429723218436</v>
      </c>
      <c r="D443" s="244" t="s">
        <v>1294</v>
      </c>
      <c r="E443" s="2" t="s">
        <v>713</v>
      </c>
      <c r="F443" s="2" t="s">
        <v>1684</v>
      </c>
    </row>
    <row r="444" spans="2:6" ht="50">
      <c r="B444" s="15" t="s">
        <v>1685</v>
      </c>
      <c r="C444" s="36">
        <v>15444.800000000001</v>
      </c>
      <c r="D444" s="244" t="s">
        <v>1295</v>
      </c>
      <c r="E444" s="2" t="s">
        <v>714</v>
      </c>
      <c r="F444" s="2" t="s">
        <v>1686</v>
      </c>
    </row>
    <row r="445" spans="2:6" ht="37.5">
      <c r="B445" s="15" t="s">
        <v>1687</v>
      </c>
      <c r="C445" s="36">
        <v>37646.400000000001</v>
      </c>
      <c r="D445" s="244" t="s">
        <v>1295</v>
      </c>
      <c r="E445" s="2" t="s">
        <v>715</v>
      </c>
      <c r="F445" s="2" t="s">
        <v>1688</v>
      </c>
    </row>
    <row r="446" spans="2:6" ht="50">
      <c r="B446" s="15" t="s">
        <v>1689</v>
      </c>
      <c r="C446" s="36">
        <v>5524.92</v>
      </c>
      <c r="D446" s="244" t="s">
        <v>1295</v>
      </c>
      <c r="E446" s="2" t="s">
        <v>716</v>
      </c>
      <c r="F446" s="2" t="s">
        <v>1690</v>
      </c>
    </row>
    <row r="447" spans="2:6" ht="37.5">
      <c r="B447" s="15" t="s">
        <v>1691</v>
      </c>
      <c r="C447" s="36">
        <v>30804.239999999998</v>
      </c>
      <c r="D447" s="244" t="s">
        <v>1295</v>
      </c>
      <c r="E447" s="2" t="s">
        <v>717</v>
      </c>
      <c r="F447" s="2" t="s">
        <v>1692</v>
      </c>
    </row>
    <row r="448" spans="2:6" ht="50">
      <c r="B448" s="15" t="s">
        <v>1693</v>
      </c>
      <c r="C448" s="36">
        <v>12097.599999999999</v>
      </c>
      <c r="D448" s="244" t="s">
        <v>1296</v>
      </c>
      <c r="E448" s="2" t="s">
        <v>718</v>
      </c>
      <c r="F448" s="2" t="s">
        <v>1694</v>
      </c>
    </row>
    <row r="449" spans="2:6" ht="37.5">
      <c r="B449" s="15" t="s">
        <v>1695</v>
      </c>
      <c r="C449" s="36">
        <v>38534.399999999994</v>
      </c>
      <c r="D449" s="244" t="s">
        <v>1296</v>
      </c>
      <c r="E449" s="2" t="s">
        <v>719</v>
      </c>
      <c r="F449" s="2" t="s">
        <v>1696</v>
      </c>
    </row>
    <row r="450" spans="2:6" ht="50">
      <c r="B450" s="15" t="s">
        <v>1697</v>
      </c>
      <c r="C450" s="36">
        <v>24195.199999999997</v>
      </c>
      <c r="D450" s="244" t="s">
        <v>1297</v>
      </c>
      <c r="E450" s="2" t="s">
        <v>720</v>
      </c>
      <c r="F450" s="2" t="s">
        <v>1698</v>
      </c>
    </row>
    <row r="451" spans="2:6" ht="50">
      <c r="B451" s="15" t="s">
        <v>1699</v>
      </c>
      <c r="C451" s="36">
        <v>57801.599999999991</v>
      </c>
      <c r="D451" s="244" t="s">
        <v>1297</v>
      </c>
      <c r="E451" s="2" t="s">
        <v>721</v>
      </c>
      <c r="F451" s="2" t="s">
        <v>1700</v>
      </c>
    </row>
    <row r="452" spans="2:6" ht="62.5">
      <c r="B452" s="15" t="s">
        <v>1701</v>
      </c>
      <c r="C452" s="110">
        <v>23.434603690297177</v>
      </c>
      <c r="D452" s="244" t="s">
        <v>1298</v>
      </c>
      <c r="E452" s="2" t="s">
        <v>722</v>
      </c>
      <c r="F452" s="2" t="s">
        <v>1702</v>
      </c>
    </row>
    <row r="453" spans="2:6" ht="62.5">
      <c r="B453" s="15" t="s">
        <v>1703</v>
      </c>
      <c r="C453" s="110">
        <v>34.001501040476498</v>
      </c>
      <c r="D453" s="244" t="s">
        <v>1298</v>
      </c>
      <c r="E453" s="2" t="s">
        <v>723</v>
      </c>
      <c r="F453" s="2" t="s">
        <v>1704</v>
      </c>
    </row>
    <row r="454" spans="2:6" ht="40" customHeight="1">
      <c r="B454" s="15" t="s">
        <v>1705</v>
      </c>
      <c r="C454" s="208">
        <v>89.774867508965912</v>
      </c>
      <c r="D454" s="244" t="s">
        <v>1299</v>
      </c>
      <c r="E454" s="2" t="s">
        <v>713</v>
      </c>
      <c r="F454" s="2" t="s">
        <v>1706</v>
      </c>
    </row>
    <row r="455" spans="2:6" ht="40" customHeight="1">
      <c r="B455" s="15" t="s">
        <v>1707</v>
      </c>
      <c r="C455" s="208">
        <v>3674.7589400717275</v>
      </c>
      <c r="D455" s="244" t="s">
        <v>1300</v>
      </c>
      <c r="E455" s="2" t="s">
        <v>713</v>
      </c>
      <c r="F455" s="2" t="s">
        <v>1708</v>
      </c>
    </row>
    <row r="456" spans="2:6" ht="40" customHeight="1">
      <c r="B456" s="15" t="s">
        <v>1709</v>
      </c>
      <c r="C456" s="208">
        <v>7349.5178801434549</v>
      </c>
      <c r="D456" s="244" t="s">
        <v>1300</v>
      </c>
      <c r="E456" s="2" t="s">
        <v>713</v>
      </c>
      <c r="F456" s="2" t="s">
        <v>1708</v>
      </c>
    </row>
    <row r="457" spans="2:6" ht="40" customHeight="1">
      <c r="B457" s="15" t="s">
        <v>1710</v>
      </c>
      <c r="C457" s="208">
        <v>12253.794700358638</v>
      </c>
      <c r="D457" s="244" t="s">
        <v>1300</v>
      </c>
      <c r="E457" s="2" t="s">
        <v>713</v>
      </c>
      <c r="F457" s="2" t="s">
        <v>1711</v>
      </c>
    </row>
    <row r="458" spans="2:6" ht="40" customHeight="1">
      <c r="B458" s="15" t="s">
        <v>1712</v>
      </c>
      <c r="C458" s="208">
        <v>30634.486750896594</v>
      </c>
      <c r="D458" s="244" t="s">
        <v>1300</v>
      </c>
      <c r="E458" s="2" t="s">
        <v>713</v>
      </c>
      <c r="F458" s="2" t="s">
        <v>1713</v>
      </c>
    </row>
  </sheetData>
  <sheetProtection algorithmName="SHA-512" hashValue="+sJCHfv3Kc63TOwHmCGFlU+fPgvzB2Vu1m/4rKuOndW/ERtcq936/auR+Nrf4JWvjpi7os6FcotjVDvKdZ/KIA==" saltValue="s1JEoNdLsU6hkrz2KzRQZg==" spinCount="100000" sheet="1" objects="1" scenarios="1" autoFilter="0"/>
  <phoneticPr fontId="8" type="noConversion"/>
  <hyperlinks>
    <hyperlink ref="B3" location="Information" display="Return to Information" xr:uid="{EBE11969-575E-49E6-99C4-7F0774763B4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52E8-2A85-471B-ACF6-7E0A7E57FDA6}">
  <sheetPr codeName="Sheet11">
    <tabColor theme="5" tint="0.39997558519241921"/>
  </sheetPr>
  <dimension ref="B2:AI127"/>
  <sheetViews>
    <sheetView showGridLines="0" zoomScaleNormal="100" workbookViewId="0">
      <pane xSplit="5" ySplit="7" topLeftCell="F8" activePane="bottomRight" state="frozen"/>
      <selection pane="topRight" activeCell="F1" sqref="F1"/>
      <selection pane="bottomLeft" activeCell="A8" sqref="A8"/>
      <selection pane="bottomRight"/>
    </sheetView>
  </sheetViews>
  <sheetFormatPr defaultColWidth="8.7265625" defaultRowHeight="15" customHeight="1"/>
  <cols>
    <col min="1" max="1" width="3.26953125" style="244" customWidth="1"/>
    <col min="2" max="2" width="41.7265625" style="244" customWidth="1"/>
    <col min="3" max="4" width="12.26953125" style="244" customWidth="1"/>
    <col min="5" max="5" width="10.453125" style="244" customWidth="1"/>
    <col min="6" max="6" width="82.26953125" style="317" customWidth="1"/>
    <col min="7" max="7" width="68.453125" style="244" customWidth="1"/>
    <col min="8" max="8" width="4" style="371" customWidth="1"/>
    <col min="9" max="9" width="7.26953125" style="244" customWidth="1"/>
    <col min="10" max="10" width="10.7265625" style="244" customWidth="1"/>
    <col min="11" max="11" width="10.7265625" style="372" customWidth="1"/>
    <col min="12" max="14" width="10.7265625" style="244" customWidth="1"/>
    <col min="15" max="15" width="20.26953125" style="244" bestFit="1" customWidth="1"/>
    <col min="16" max="16" width="13.453125" style="244" customWidth="1"/>
    <col min="17" max="34" width="11.54296875" style="244" customWidth="1"/>
    <col min="35" max="35" width="13.453125" style="244" customWidth="1"/>
    <col min="36" max="16384" width="8.7265625" style="244"/>
  </cols>
  <sheetData>
    <row r="2" spans="2:35" ht="13">
      <c r="B2" s="243" t="str">
        <f>Project_Name</f>
        <v xml:space="preserve">South Australia Hydrogen and Renewable Energy Restoration Cost Estimation Tool </v>
      </c>
    </row>
    <row r="3" spans="2:35" ht="11.25" customHeight="1">
      <c r="B3" s="5" t="s">
        <v>47</v>
      </c>
      <c r="J3" s="373"/>
      <c r="K3" s="374"/>
      <c r="L3" s="373"/>
      <c r="M3" s="373"/>
      <c r="N3" s="372"/>
      <c r="O3" s="114" t="s">
        <v>724</v>
      </c>
      <c r="P3" s="115">
        <v>0</v>
      </c>
      <c r="Q3" s="293"/>
      <c r="R3" s="372"/>
    </row>
    <row r="4" spans="2:35" ht="13">
      <c r="B4" s="375" t="s">
        <v>25</v>
      </c>
      <c r="C4" s="376"/>
      <c r="D4" s="376"/>
      <c r="E4" s="376"/>
      <c r="F4" s="377"/>
      <c r="G4" s="376"/>
      <c r="J4" s="372"/>
      <c r="L4" s="372"/>
      <c r="M4" s="372"/>
      <c r="N4" s="372"/>
      <c r="O4" s="114" t="s">
        <v>725</v>
      </c>
      <c r="P4" s="116">
        <v>0.03</v>
      </c>
      <c r="Q4" s="293"/>
      <c r="R4" s="374"/>
    </row>
    <row r="5" spans="2:35" ht="11.25" customHeight="1">
      <c r="J5" s="372"/>
      <c r="L5" s="372"/>
      <c r="M5" s="372"/>
      <c r="N5" s="372"/>
      <c r="O5" s="114" t="s">
        <v>726</v>
      </c>
      <c r="P5" s="1">
        <f>1*(1+P4)^P3</f>
        <v>1</v>
      </c>
      <c r="Q5" s="117">
        <v>45686</v>
      </c>
      <c r="R5" s="378"/>
      <c r="S5" s="372"/>
      <c r="T5" s="372"/>
      <c r="U5" s="372"/>
      <c r="V5" s="372"/>
      <c r="W5" s="372"/>
      <c r="X5" s="372"/>
      <c r="Y5" s="372"/>
      <c r="Z5" s="372"/>
      <c r="AA5" s="372"/>
      <c r="AB5" s="372"/>
      <c r="AC5" s="372"/>
      <c r="AD5" s="372"/>
      <c r="AE5" s="372"/>
      <c r="AF5" s="372"/>
      <c r="AG5" s="372"/>
      <c r="AH5" s="372"/>
    </row>
    <row r="6" spans="2:35" ht="30" customHeight="1">
      <c r="B6" s="265" t="s">
        <v>141</v>
      </c>
      <c r="C6" s="379" t="s">
        <v>727</v>
      </c>
      <c r="D6" s="264" t="s">
        <v>728</v>
      </c>
      <c r="E6" s="265" t="s">
        <v>82</v>
      </c>
      <c r="F6" s="380" t="s">
        <v>729</v>
      </c>
      <c r="G6" s="380" t="s">
        <v>730</v>
      </c>
      <c r="I6" s="381" t="s">
        <v>731</v>
      </c>
      <c r="J6" s="382" t="s">
        <v>732</v>
      </c>
      <c r="K6" s="382" t="s">
        <v>733</v>
      </c>
      <c r="L6" s="382" t="s">
        <v>734</v>
      </c>
      <c r="M6" s="382" t="s">
        <v>735</v>
      </c>
      <c r="N6" s="382" t="s">
        <v>736</v>
      </c>
      <c r="O6" s="382" t="s">
        <v>144</v>
      </c>
      <c r="P6" s="382" t="s">
        <v>737</v>
      </c>
      <c r="Q6" s="382" t="s">
        <v>738</v>
      </c>
      <c r="R6" s="382" t="s">
        <v>739</v>
      </c>
      <c r="S6" s="382" t="s">
        <v>740</v>
      </c>
      <c r="T6" s="382" t="s">
        <v>741</v>
      </c>
      <c r="U6" s="382" t="s">
        <v>742</v>
      </c>
      <c r="V6" s="382" t="s">
        <v>743</v>
      </c>
      <c r="W6" s="382" t="s">
        <v>744</v>
      </c>
      <c r="X6" s="382" t="s">
        <v>745</v>
      </c>
      <c r="Y6" s="382" t="s">
        <v>746</v>
      </c>
      <c r="Z6" s="382" t="s">
        <v>747</v>
      </c>
      <c r="AA6" s="382" t="s">
        <v>748</v>
      </c>
      <c r="AB6" s="382" t="s">
        <v>749</v>
      </c>
      <c r="AC6" s="382" t="s">
        <v>750</v>
      </c>
      <c r="AD6" s="382" t="s">
        <v>751</v>
      </c>
      <c r="AE6" s="382" t="s">
        <v>752</v>
      </c>
      <c r="AF6" s="382" t="s">
        <v>753</v>
      </c>
      <c r="AG6" s="382" t="s">
        <v>754</v>
      </c>
      <c r="AH6" s="382" t="s">
        <v>755</v>
      </c>
      <c r="AI6" s="382" t="s">
        <v>756</v>
      </c>
    </row>
    <row r="7" spans="2:35" ht="3" customHeight="1"/>
    <row r="8" spans="2:35" ht="13">
      <c r="B8" s="265" t="s">
        <v>757</v>
      </c>
      <c r="Q8" s="383"/>
    </row>
    <row r="9" spans="2:35" ht="12.5">
      <c r="B9" s="15" t="s">
        <v>758</v>
      </c>
      <c r="C9" s="144"/>
      <c r="D9" s="118">
        <v>255</v>
      </c>
      <c r="E9" s="244" t="s">
        <v>759</v>
      </c>
      <c r="F9" s="15" t="s">
        <v>760</v>
      </c>
      <c r="G9" s="145"/>
      <c r="J9" s="119">
        <f>$N9-$L9</f>
        <v>0</v>
      </c>
      <c r="K9" s="214">
        <f>IF(L9=0,"No min",$J9/$L9)</f>
        <v>0</v>
      </c>
      <c r="L9" s="119">
        <f>MIN(R9:AI9)</f>
        <v>255</v>
      </c>
      <c r="M9" s="119">
        <f>IFERROR(AVERAGE(R9:AI9),"One rate")</f>
        <v>255</v>
      </c>
      <c r="N9" s="119">
        <f>MAX(R9:AI9)</f>
        <v>255</v>
      </c>
      <c r="O9" s="120" t="s">
        <v>756</v>
      </c>
      <c r="P9" s="119">
        <f>_xlfn.XLOOKUP(Rates!$O9,$J$6:$AI$6,J9:AI9)</f>
        <v>255</v>
      </c>
      <c r="Q9" s="121"/>
      <c r="R9" s="120"/>
      <c r="S9" s="120"/>
      <c r="T9" s="122"/>
      <c r="U9" s="120"/>
      <c r="V9" s="120"/>
      <c r="W9" s="120"/>
      <c r="X9" s="120"/>
      <c r="Y9" s="120"/>
      <c r="Z9" s="120"/>
      <c r="AA9" s="120"/>
      <c r="AB9" s="120"/>
      <c r="AC9" s="120"/>
      <c r="AD9" s="120"/>
      <c r="AE9" s="120"/>
      <c r="AF9" s="120"/>
      <c r="AG9" s="120"/>
      <c r="AH9" s="120"/>
      <c r="AI9" s="123">
        <v>255</v>
      </c>
    </row>
    <row r="10" spans="2:35" ht="12.5">
      <c r="B10" s="38" t="s">
        <v>761</v>
      </c>
      <c r="C10" s="144"/>
      <c r="D10" s="118">
        <v>90</v>
      </c>
      <c r="E10" s="244" t="s">
        <v>759</v>
      </c>
      <c r="F10" s="124"/>
      <c r="G10" s="145"/>
      <c r="H10" s="125"/>
      <c r="J10" s="119">
        <f>$N10-$L10</f>
        <v>0</v>
      </c>
      <c r="K10" s="214">
        <f>IF(L10=0,"No min",$J10/$L10)</f>
        <v>0</v>
      </c>
      <c r="L10" s="119">
        <f>MIN(R10:AI10)</f>
        <v>90</v>
      </c>
      <c r="M10" s="119">
        <f>IFERROR(AVERAGE(R10:AI10),"One rate")</f>
        <v>90</v>
      </c>
      <c r="N10" s="119">
        <f>MAX(R10:AI10)</f>
        <v>90</v>
      </c>
      <c r="O10" s="120" t="s">
        <v>756</v>
      </c>
      <c r="P10" s="119">
        <f>_xlfn.XLOOKUP(Rates!$O10,$J$6:$AI$6,J10:AI10)</f>
        <v>90</v>
      </c>
      <c r="Q10" s="121"/>
      <c r="R10" s="120"/>
      <c r="S10" s="120"/>
      <c r="T10" s="122"/>
      <c r="U10" s="120"/>
      <c r="V10" s="120"/>
      <c r="W10" s="120"/>
      <c r="X10" s="120"/>
      <c r="Y10" s="120"/>
      <c r="Z10" s="120"/>
      <c r="AA10" s="120"/>
      <c r="AB10" s="120"/>
      <c r="AC10" s="120"/>
      <c r="AD10" s="120"/>
      <c r="AE10" s="120"/>
      <c r="AF10" s="120"/>
      <c r="AG10" s="120"/>
      <c r="AH10" s="120"/>
      <c r="AI10" s="122">
        <v>90</v>
      </c>
    </row>
    <row r="11" spans="2:35" ht="13">
      <c r="B11" s="265" t="s">
        <v>762</v>
      </c>
      <c r="C11" s="99"/>
      <c r="H11" s="244"/>
    </row>
    <row r="12" spans="2:35" ht="12.5">
      <c r="B12" s="38" t="s">
        <v>763</v>
      </c>
      <c r="C12" s="144"/>
      <c r="D12" s="118">
        <v>318</v>
      </c>
      <c r="E12" s="244" t="s">
        <v>759</v>
      </c>
      <c r="F12" s="15" t="s">
        <v>760</v>
      </c>
      <c r="G12" s="145"/>
      <c r="H12" s="125"/>
      <c r="J12" s="119">
        <f>$N12-$L12</f>
        <v>0</v>
      </c>
      <c r="K12" s="214">
        <f>IF(L12=0,"No min",$J12/$L12)</f>
        <v>0</v>
      </c>
      <c r="L12" s="119">
        <f>MIN(R12:AI12)</f>
        <v>318</v>
      </c>
      <c r="M12" s="119">
        <f>IFERROR(AVERAGE(R12:AI12),"One rate")</f>
        <v>318</v>
      </c>
      <c r="N12" s="119">
        <f>MAX(R12:AI12)</f>
        <v>318</v>
      </c>
      <c r="O12" s="120" t="s">
        <v>756</v>
      </c>
      <c r="P12" s="119">
        <f>_xlfn.XLOOKUP(Rates!$O12,$J$6:$AI$6,J12:AI12)</f>
        <v>318</v>
      </c>
      <c r="Q12" s="120"/>
      <c r="R12" s="127"/>
      <c r="S12" s="122"/>
      <c r="T12" s="120"/>
      <c r="U12" s="120"/>
      <c r="V12" s="120"/>
      <c r="W12" s="120"/>
      <c r="X12" s="120"/>
      <c r="Y12" s="120"/>
      <c r="Z12" s="120"/>
      <c r="AA12" s="120"/>
      <c r="AB12" s="120"/>
      <c r="AC12" s="120"/>
      <c r="AD12" s="120"/>
      <c r="AE12" s="120"/>
      <c r="AF12" s="120"/>
      <c r="AG12" s="120"/>
      <c r="AH12" s="120"/>
      <c r="AI12" s="127">
        <v>318</v>
      </c>
    </row>
    <row r="13" spans="2:35" ht="13">
      <c r="B13" s="265" t="s">
        <v>635</v>
      </c>
      <c r="C13" s="99"/>
      <c r="H13" s="244"/>
    </row>
    <row r="14" spans="2:35" ht="12.5">
      <c r="B14" s="38" t="s">
        <v>764</v>
      </c>
      <c r="C14" s="144"/>
      <c r="D14" s="118">
        <v>208.33</v>
      </c>
      <c r="E14" s="244" t="s">
        <v>759</v>
      </c>
      <c r="F14" s="15" t="s">
        <v>760</v>
      </c>
      <c r="G14" s="145"/>
      <c r="H14" s="125"/>
      <c r="J14" s="119">
        <f t="shared" ref="J14:J24" si="0">$N14-$L14</f>
        <v>0</v>
      </c>
      <c r="K14" s="214">
        <f t="shared" ref="K14" si="1">IF(L14=0,"No min",$J14/$L14)</f>
        <v>0</v>
      </c>
      <c r="L14" s="119">
        <f>MIN(R14:AI14)</f>
        <v>208.33</v>
      </c>
      <c r="M14" s="119">
        <f>IFERROR(AVERAGE(R14:AI14),"One rate")</f>
        <v>208.33</v>
      </c>
      <c r="N14" s="119">
        <f>MAX(R14:AI14)</f>
        <v>208.33</v>
      </c>
      <c r="O14" s="120" t="s">
        <v>756</v>
      </c>
      <c r="P14" s="119">
        <f>_xlfn.XLOOKUP(Rates!$O14,$J$6:$AI$6,J14:AI14)</f>
        <v>208.33</v>
      </c>
      <c r="Q14" s="120"/>
      <c r="R14" s="122"/>
      <c r="S14" s="120"/>
      <c r="T14" s="120"/>
      <c r="U14" s="120"/>
      <c r="V14" s="120"/>
      <c r="W14" s="120"/>
      <c r="X14" s="120"/>
      <c r="Y14" s="120"/>
      <c r="Z14" s="120"/>
      <c r="AA14" s="120"/>
      <c r="AB14" s="120"/>
      <c r="AC14" s="120"/>
      <c r="AD14" s="120"/>
      <c r="AE14" s="120"/>
      <c r="AF14" s="120"/>
      <c r="AG14" s="120"/>
      <c r="AH14" s="120"/>
      <c r="AI14" s="119">
        <v>208.33</v>
      </c>
    </row>
    <row r="15" spans="2:35" ht="13">
      <c r="B15" s="265" t="s">
        <v>765</v>
      </c>
      <c r="C15" s="99"/>
      <c r="H15" s="244"/>
    </row>
    <row r="16" spans="2:35" ht="12.5">
      <c r="B16" s="38" t="s">
        <v>766</v>
      </c>
      <c r="C16" s="144"/>
      <c r="D16" s="118">
        <v>155</v>
      </c>
      <c r="E16" s="244" t="s">
        <v>759</v>
      </c>
      <c r="F16" s="15" t="s">
        <v>767</v>
      </c>
      <c r="G16" s="145"/>
      <c r="H16" s="125"/>
      <c r="J16" s="119">
        <f t="shared" si="0"/>
        <v>0</v>
      </c>
      <c r="K16" s="214">
        <f t="shared" ref="K16:K24" si="2">IF(L16=0,"No min",$J16/$L16)</f>
        <v>0</v>
      </c>
      <c r="L16" s="119">
        <f>MIN(R16:AI16)</f>
        <v>155</v>
      </c>
      <c r="M16" s="119">
        <f>IFERROR(AVERAGE(R16:AI16),"One rate")</f>
        <v>155</v>
      </c>
      <c r="N16" s="119">
        <f>MAX(R16:AI16)</f>
        <v>155</v>
      </c>
      <c r="O16" s="120" t="s">
        <v>739</v>
      </c>
      <c r="P16" s="119">
        <f>_xlfn.XLOOKUP(Rates!$O16,$J$6:$AI$6,J16:AI16)</f>
        <v>155</v>
      </c>
      <c r="Q16" s="120"/>
      <c r="R16" s="122">
        <v>155</v>
      </c>
      <c r="S16" s="120"/>
      <c r="T16" s="120"/>
      <c r="U16" s="120"/>
      <c r="V16" s="120"/>
      <c r="W16" s="120"/>
      <c r="X16" s="120"/>
      <c r="Y16" s="120"/>
      <c r="Z16" s="120"/>
      <c r="AA16" s="120"/>
      <c r="AB16" s="120"/>
      <c r="AC16" s="120"/>
      <c r="AD16" s="120"/>
      <c r="AE16" s="120"/>
      <c r="AF16" s="120"/>
      <c r="AG16" s="120"/>
      <c r="AH16" s="120"/>
      <c r="AI16" s="119"/>
    </row>
    <row r="17" spans="2:35" ht="12.5">
      <c r="B17" s="38" t="s">
        <v>768</v>
      </c>
      <c r="C17" s="144"/>
      <c r="D17" s="118">
        <v>180</v>
      </c>
      <c r="E17" s="244" t="s">
        <v>759</v>
      </c>
      <c r="F17" s="15" t="s">
        <v>767</v>
      </c>
      <c r="G17" s="145"/>
      <c r="H17" s="125"/>
      <c r="J17" s="119">
        <f t="shared" si="0"/>
        <v>0</v>
      </c>
      <c r="K17" s="214">
        <f t="shared" si="2"/>
        <v>0</v>
      </c>
      <c r="L17" s="119">
        <f t="shared" ref="L17:L24" si="3">MIN(R17:AI17)</f>
        <v>180</v>
      </c>
      <c r="M17" s="119">
        <f t="shared" ref="M17:M24" si="4">IFERROR(AVERAGE(R17:AI17),"One rate")</f>
        <v>180</v>
      </c>
      <c r="N17" s="119">
        <f t="shared" ref="N17:N24" si="5">MAX(R17:AI17)</f>
        <v>180</v>
      </c>
      <c r="O17" s="120" t="s">
        <v>739</v>
      </c>
      <c r="P17" s="119">
        <f>_xlfn.XLOOKUP(Rates!$O17,$J$6:$AI$6,J17:AI17)</f>
        <v>180</v>
      </c>
      <c r="Q17" s="120"/>
      <c r="R17" s="122">
        <v>180</v>
      </c>
      <c r="S17" s="120"/>
      <c r="T17" s="120"/>
      <c r="U17" s="120"/>
      <c r="V17" s="120"/>
      <c r="W17" s="120"/>
      <c r="X17" s="120"/>
      <c r="Y17" s="120"/>
      <c r="Z17" s="120"/>
      <c r="AA17" s="120"/>
      <c r="AB17" s="120"/>
      <c r="AC17" s="120"/>
      <c r="AD17" s="120"/>
      <c r="AE17" s="120"/>
      <c r="AF17" s="120"/>
      <c r="AG17" s="120"/>
      <c r="AH17" s="120"/>
      <c r="AI17" s="119"/>
    </row>
    <row r="18" spans="2:35" ht="12.5">
      <c r="B18" s="38" t="s">
        <v>769</v>
      </c>
      <c r="C18" s="144"/>
      <c r="D18" s="118">
        <v>250</v>
      </c>
      <c r="E18" s="244" t="s">
        <v>759</v>
      </c>
      <c r="F18" s="15" t="s">
        <v>767</v>
      </c>
      <c r="G18" s="145"/>
      <c r="H18" s="125"/>
      <c r="J18" s="119">
        <f t="shared" si="0"/>
        <v>0</v>
      </c>
      <c r="K18" s="214">
        <f t="shared" si="2"/>
        <v>0</v>
      </c>
      <c r="L18" s="119">
        <f t="shared" si="3"/>
        <v>250</v>
      </c>
      <c r="M18" s="119">
        <f t="shared" si="4"/>
        <v>250</v>
      </c>
      <c r="N18" s="119">
        <f t="shared" si="5"/>
        <v>250</v>
      </c>
      <c r="O18" s="120" t="s">
        <v>739</v>
      </c>
      <c r="P18" s="119">
        <f>_xlfn.XLOOKUP(Rates!$O18,$J$6:$AI$6,J18:AI18)</f>
        <v>250</v>
      </c>
      <c r="Q18" s="120"/>
      <c r="R18" s="122">
        <v>250</v>
      </c>
      <c r="S18" s="120"/>
      <c r="T18" s="120"/>
      <c r="U18" s="120"/>
      <c r="V18" s="120"/>
      <c r="W18" s="120"/>
      <c r="X18" s="120"/>
      <c r="Y18" s="120"/>
      <c r="Z18" s="120"/>
      <c r="AA18" s="120"/>
      <c r="AB18" s="120"/>
      <c r="AC18" s="120"/>
      <c r="AD18" s="120"/>
      <c r="AE18" s="120"/>
      <c r="AF18" s="120"/>
      <c r="AG18" s="120"/>
      <c r="AH18" s="120"/>
      <c r="AI18" s="119"/>
    </row>
    <row r="19" spans="2:35" ht="12.5">
      <c r="B19" s="38" t="s">
        <v>770</v>
      </c>
      <c r="C19" s="144"/>
      <c r="D19" s="118">
        <v>300</v>
      </c>
      <c r="E19" s="244" t="s">
        <v>759</v>
      </c>
      <c r="F19" s="15" t="s">
        <v>767</v>
      </c>
      <c r="G19" s="145"/>
      <c r="H19" s="125"/>
      <c r="J19" s="119">
        <f t="shared" si="0"/>
        <v>0</v>
      </c>
      <c r="K19" s="214">
        <f t="shared" si="2"/>
        <v>0</v>
      </c>
      <c r="L19" s="119">
        <f t="shared" si="3"/>
        <v>300</v>
      </c>
      <c r="M19" s="119">
        <f t="shared" si="4"/>
        <v>300</v>
      </c>
      <c r="N19" s="119">
        <f t="shared" si="5"/>
        <v>300</v>
      </c>
      <c r="O19" s="120" t="s">
        <v>739</v>
      </c>
      <c r="P19" s="119">
        <f>_xlfn.XLOOKUP(Rates!$O19,$J$6:$AI$6,J19:AI19)</f>
        <v>300</v>
      </c>
      <c r="Q19" s="120"/>
      <c r="R19" s="122">
        <v>300</v>
      </c>
      <c r="S19" s="120"/>
      <c r="T19" s="120"/>
      <c r="U19" s="120"/>
      <c r="V19" s="120"/>
      <c r="W19" s="120"/>
      <c r="X19" s="120"/>
      <c r="Y19" s="120"/>
      <c r="Z19" s="120"/>
      <c r="AA19" s="120"/>
      <c r="AB19" s="120"/>
      <c r="AC19" s="120"/>
      <c r="AD19" s="120"/>
      <c r="AE19" s="120"/>
      <c r="AF19" s="120"/>
      <c r="AG19" s="120"/>
      <c r="AH19" s="120"/>
      <c r="AI19" s="119"/>
    </row>
    <row r="20" spans="2:35" ht="12.5">
      <c r="B20" s="38" t="s">
        <v>771</v>
      </c>
      <c r="C20" s="144"/>
      <c r="D20" s="118">
        <v>240</v>
      </c>
      <c r="E20" s="244" t="s">
        <v>759</v>
      </c>
      <c r="F20" s="15" t="s">
        <v>767</v>
      </c>
      <c r="G20" s="145"/>
      <c r="H20" s="125"/>
      <c r="J20" s="119">
        <f t="shared" si="0"/>
        <v>0</v>
      </c>
      <c r="K20" s="214">
        <f t="shared" si="2"/>
        <v>0</v>
      </c>
      <c r="L20" s="119">
        <f t="shared" si="3"/>
        <v>240</v>
      </c>
      <c r="M20" s="119">
        <f t="shared" si="4"/>
        <v>240</v>
      </c>
      <c r="N20" s="119">
        <f t="shared" si="5"/>
        <v>240</v>
      </c>
      <c r="O20" s="120" t="s">
        <v>739</v>
      </c>
      <c r="P20" s="119">
        <f>_xlfn.XLOOKUP(Rates!$O20,$J$6:$AI$6,J20:AI20)</f>
        <v>240</v>
      </c>
      <c r="Q20" s="120"/>
      <c r="R20" s="122">
        <v>240</v>
      </c>
      <c r="S20" s="120"/>
      <c r="T20" s="120"/>
      <c r="U20" s="120"/>
      <c r="V20" s="120"/>
      <c r="W20" s="120"/>
      <c r="X20" s="120"/>
      <c r="Y20" s="120"/>
      <c r="Z20" s="120"/>
      <c r="AA20" s="120"/>
      <c r="AB20" s="120"/>
      <c r="AC20" s="120"/>
      <c r="AD20" s="120"/>
      <c r="AE20" s="120"/>
      <c r="AF20" s="120"/>
      <c r="AG20" s="120"/>
      <c r="AH20" s="120"/>
      <c r="AI20" s="119"/>
    </row>
    <row r="21" spans="2:35" ht="12.5">
      <c r="B21" s="38" t="s">
        <v>772</v>
      </c>
      <c r="C21" s="144"/>
      <c r="D21" s="118">
        <v>420</v>
      </c>
      <c r="E21" s="244" t="s">
        <v>759</v>
      </c>
      <c r="F21" s="15" t="s">
        <v>767</v>
      </c>
      <c r="G21" s="145"/>
      <c r="H21" s="125"/>
      <c r="J21" s="119">
        <f t="shared" si="0"/>
        <v>0</v>
      </c>
      <c r="K21" s="214">
        <f t="shared" si="2"/>
        <v>0</v>
      </c>
      <c r="L21" s="119">
        <f t="shared" si="3"/>
        <v>420</v>
      </c>
      <c r="M21" s="119">
        <f t="shared" si="4"/>
        <v>420</v>
      </c>
      <c r="N21" s="119">
        <f t="shared" si="5"/>
        <v>420</v>
      </c>
      <c r="O21" s="120" t="s">
        <v>739</v>
      </c>
      <c r="P21" s="119">
        <f>_xlfn.XLOOKUP(Rates!$O21,$J$6:$AI$6,J21:AI21)</f>
        <v>420</v>
      </c>
      <c r="Q21" s="120"/>
      <c r="R21" s="122">
        <v>420</v>
      </c>
      <c r="S21" s="120"/>
      <c r="T21" s="120"/>
      <c r="U21" s="120"/>
      <c r="V21" s="120"/>
      <c r="W21" s="120"/>
      <c r="X21" s="120"/>
      <c r="Y21" s="120"/>
      <c r="Z21" s="120"/>
      <c r="AA21" s="120"/>
      <c r="AB21" s="120"/>
      <c r="AC21" s="120"/>
      <c r="AD21" s="120"/>
      <c r="AE21" s="120"/>
      <c r="AF21" s="120"/>
      <c r="AG21" s="120"/>
      <c r="AH21" s="120"/>
      <c r="AI21" s="119"/>
    </row>
    <row r="22" spans="2:35" ht="12.5">
      <c r="B22" s="38" t="s">
        <v>773</v>
      </c>
      <c r="C22" s="144"/>
      <c r="D22" s="118">
        <v>160</v>
      </c>
      <c r="E22" s="244" t="s">
        <v>759</v>
      </c>
      <c r="F22" s="15" t="s">
        <v>767</v>
      </c>
      <c r="G22" s="145"/>
      <c r="H22" s="125"/>
      <c r="J22" s="119">
        <f t="shared" si="0"/>
        <v>0</v>
      </c>
      <c r="K22" s="214">
        <f t="shared" si="2"/>
        <v>0</v>
      </c>
      <c r="L22" s="119">
        <f t="shared" si="3"/>
        <v>160</v>
      </c>
      <c r="M22" s="119">
        <f t="shared" si="4"/>
        <v>160</v>
      </c>
      <c r="N22" s="119">
        <f t="shared" si="5"/>
        <v>160</v>
      </c>
      <c r="O22" s="120" t="s">
        <v>739</v>
      </c>
      <c r="P22" s="119">
        <f>_xlfn.XLOOKUP(Rates!$O22,$J$6:$AI$6,J22:AI22)</f>
        <v>160</v>
      </c>
      <c r="Q22" s="120"/>
      <c r="R22" s="122">
        <v>160</v>
      </c>
      <c r="S22" s="120"/>
      <c r="T22" s="120"/>
      <c r="U22" s="120"/>
      <c r="V22" s="120"/>
      <c r="W22" s="120"/>
      <c r="X22" s="120"/>
      <c r="Y22" s="120"/>
      <c r="Z22" s="120"/>
      <c r="AA22" s="120"/>
      <c r="AB22" s="120"/>
      <c r="AC22" s="120"/>
      <c r="AD22" s="120"/>
      <c r="AE22" s="120"/>
      <c r="AF22" s="120"/>
      <c r="AG22" s="120"/>
      <c r="AH22" s="120"/>
      <c r="AI22" s="119"/>
    </row>
    <row r="23" spans="2:35" ht="12.5">
      <c r="B23" s="38" t="s">
        <v>774</v>
      </c>
      <c r="C23" s="144"/>
      <c r="D23" s="118">
        <v>140</v>
      </c>
      <c r="E23" s="244" t="s">
        <v>759</v>
      </c>
      <c r="F23" s="15" t="s">
        <v>767</v>
      </c>
      <c r="G23" s="145"/>
      <c r="H23" s="125"/>
      <c r="J23" s="119">
        <f t="shared" si="0"/>
        <v>0</v>
      </c>
      <c r="K23" s="214">
        <f t="shared" si="2"/>
        <v>0</v>
      </c>
      <c r="L23" s="119">
        <f t="shared" si="3"/>
        <v>140</v>
      </c>
      <c r="M23" s="119">
        <f t="shared" si="4"/>
        <v>140</v>
      </c>
      <c r="N23" s="119">
        <f t="shared" si="5"/>
        <v>140</v>
      </c>
      <c r="O23" s="120" t="s">
        <v>739</v>
      </c>
      <c r="P23" s="119">
        <f>_xlfn.XLOOKUP(Rates!$O23,$J$6:$AI$6,J23:AI23)</f>
        <v>140</v>
      </c>
      <c r="Q23" s="120"/>
      <c r="R23" s="122">
        <v>140</v>
      </c>
      <c r="S23" s="120"/>
      <c r="T23" s="120"/>
      <c r="U23" s="120"/>
      <c r="V23" s="120"/>
      <c r="W23" s="120"/>
      <c r="X23" s="120"/>
      <c r="Y23" s="120"/>
      <c r="Z23" s="120"/>
      <c r="AA23" s="120"/>
      <c r="AB23" s="120"/>
      <c r="AC23" s="120"/>
      <c r="AD23" s="120"/>
      <c r="AE23" s="120"/>
      <c r="AF23" s="120"/>
      <c r="AG23" s="120"/>
      <c r="AH23" s="120"/>
      <c r="AI23" s="119"/>
    </row>
    <row r="24" spans="2:35" ht="12.5">
      <c r="B24" s="38" t="s">
        <v>775</v>
      </c>
      <c r="C24" s="144"/>
      <c r="D24" s="118">
        <v>188.90532542944194</v>
      </c>
      <c r="E24" s="244" t="s">
        <v>759</v>
      </c>
      <c r="F24" s="15" t="s">
        <v>767</v>
      </c>
      <c r="G24" s="145"/>
      <c r="H24" s="125"/>
      <c r="J24" s="119">
        <f t="shared" si="0"/>
        <v>0</v>
      </c>
      <c r="K24" s="214">
        <f t="shared" si="2"/>
        <v>0</v>
      </c>
      <c r="L24" s="119">
        <f t="shared" si="3"/>
        <v>188.90532542944194</v>
      </c>
      <c r="M24" s="119">
        <f t="shared" si="4"/>
        <v>188.90532542944194</v>
      </c>
      <c r="N24" s="119">
        <f t="shared" si="5"/>
        <v>188.90532542944194</v>
      </c>
      <c r="O24" s="120" t="s">
        <v>739</v>
      </c>
      <c r="P24" s="119">
        <f>_xlfn.XLOOKUP(Rates!$O24,$J$6:$AI$6,J24:AI24)</f>
        <v>188.90532542944194</v>
      </c>
      <c r="Q24" s="120"/>
      <c r="R24" s="122">
        <v>188.90532542944194</v>
      </c>
      <c r="S24" s="120"/>
      <c r="T24" s="120"/>
      <c r="U24" s="120"/>
      <c r="V24" s="120"/>
      <c r="W24" s="120"/>
      <c r="X24" s="120"/>
      <c r="Y24" s="120"/>
      <c r="Z24" s="120"/>
      <c r="AA24" s="120"/>
      <c r="AB24" s="120"/>
      <c r="AC24" s="120"/>
      <c r="AD24" s="120"/>
      <c r="AE24" s="120"/>
      <c r="AF24" s="120"/>
      <c r="AG24" s="120"/>
      <c r="AH24" s="120"/>
      <c r="AI24" s="119"/>
    </row>
    <row r="25" spans="2:35" ht="13">
      <c r="B25" s="265" t="s">
        <v>776</v>
      </c>
      <c r="C25" s="99"/>
      <c r="H25" s="244"/>
      <c r="R25" s="384"/>
      <c r="AI25" s="385"/>
    </row>
    <row r="26" spans="2:35" ht="12.5">
      <c r="B26" s="15" t="s">
        <v>777</v>
      </c>
      <c r="C26" s="144"/>
      <c r="D26" s="118">
        <v>260</v>
      </c>
      <c r="E26" s="244" t="s">
        <v>759</v>
      </c>
      <c r="F26" s="124" t="s">
        <v>778</v>
      </c>
      <c r="G26" s="145"/>
      <c r="H26" s="128"/>
      <c r="J26" s="119">
        <f t="shared" ref="J26:J96" si="6">$N26-$L26</f>
        <v>0</v>
      </c>
      <c r="K26" s="214">
        <f t="shared" ref="K26:K76" si="7">IF(L26=0,"No min",$J26/$L26)</f>
        <v>0</v>
      </c>
      <c r="L26" s="119">
        <f t="shared" ref="L26" si="8">MIN(R26:AI26)</f>
        <v>260</v>
      </c>
      <c r="M26" s="119">
        <f t="shared" ref="M26" si="9">IFERROR(AVERAGE(R26:AI26),"One rate")</f>
        <v>260</v>
      </c>
      <c r="N26" s="119">
        <f t="shared" ref="N26" si="10">MAX(R26:AI26)</f>
        <v>260</v>
      </c>
      <c r="O26" s="120" t="s">
        <v>756</v>
      </c>
      <c r="P26" s="119">
        <f>_xlfn.XLOOKUP(Rates!$O26,$J$6:$AI$6,J26:AI26)</f>
        <v>260</v>
      </c>
      <c r="Q26" s="120"/>
      <c r="R26" s="129"/>
      <c r="S26" s="122"/>
      <c r="T26" s="122"/>
      <c r="U26" s="122"/>
      <c r="V26" s="122"/>
      <c r="W26" s="122"/>
      <c r="X26" s="122"/>
      <c r="Y26" s="122"/>
      <c r="Z26" s="127"/>
      <c r="AA26" s="127"/>
      <c r="AB26" s="127"/>
      <c r="AC26" s="127"/>
      <c r="AD26" s="122"/>
      <c r="AE26" s="122"/>
      <c r="AF26" s="122"/>
      <c r="AG26" s="122"/>
      <c r="AH26" s="122"/>
      <c r="AI26" s="119">
        <v>260</v>
      </c>
    </row>
    <row r="27" spans="2:35" ht="12.5">
      <c r="B27" s="15" t="s">
        <v>779</v>
      </c>
      <c r="C27" s="144"/>
      <c r="D27" s="118">
        <v>432</v>
      </c>
      <c r="E27" s="244" t="s">
        <v>759</v>
      </c>
      <c r="F27" s="124" t="s">
        <v>778</v>
      </c>
      <c r="G27" s="145"/>
      <c r="H27" s="128"/>
      <c r="J27" s="119">
        <f t="shared" si="6"/>
        <v>0</v>
      </c>
      <c r="K27" s="214">
        <f t="shared" ref="K27:K31" si="11">IF(L27=0,"No min",$J27/$L27)</f>
        <v>0</v>
      </c>
      <c r="L27" s="119">
        <f t="shared" ref="L27:L31" si="12">MIN(R27:AI27)</f>
        <v>432</v>
      </c>
      <c r="M27" s="119">
        <f t="shared" ref="M27:M31" si="13">IFERROR(AVERAGE(R27:AI27),"One rate")</f>
        <v>432</v>
      </c>
      <c r="N27" s="119">
        <f t="shared" ref="N27:N31" si="14">MAX(R27:AI27)</f>
        <v>432</v>
      </c>
      <c r="O27" s="120" t="s">
        <v>756</v>
      </c>
      <c r="P27" s="119">
        <f>_xlfn.XLOOKUP(Rates!$O27,$J$6:$AI$6,J27:AI27)</f>
        <v>432</v>
      </c>
      <c r="Q27" s="120"/>
      <c r="R27" s="129"/>
      <c r="S27" s="122"/>
      <c r="T27" s="122"/>
      <c r="U27" s="122"/>
      <c r="V27" s="122"/>
      <c r="W27" s="122"/>
      <c r="X27" s="122"/>
      <c r="Y27" s="122"/>
      <c r="Z27" s="127"/>
      <c r="AA27" s="127"/>
      <c r="AB27" s="127"/>
      <c r="AC27" s="127"/>
      <c r="AD27" s="122"/>
      <c r="AE27" s="122"/>
      <c r="AF27" s="122"/>
      <c r="AG27" s="122"/>
      <c r="AH27" s="122"/>
      <c r="AI27" s="119">
        <v>432</v>
      </c>
    </row>
    <row r="28" spans="2:35" ht="12.5">
      <c r="B28" s="15" t="s">
        <v>780</v>
      </c>
      <c r="C28" s="144"/>
      <c r="D28" s="118">
        <v>732</v>
      </c>
      <c r="E28" s="244" t="s">
        <v>759</v>
      </c>
      <c r="F28" s="124" t="s">
        <v>778</v>
      </c>
      <c r="G28" s="145"/>
      <c r="H28" s="128"/>
      <c r="J28" s="119">
        <f t="shared" si="6"/>
        <v>0</v>
      </c>
      <c r="K28" s="214">
        <f t="shared" si="11"/>
        <v>0</v>
      </c>
      <c r="L28" s="119">
        <f t="shared" si="12"/>
        <v>732</v>
      </c>
      <c r="M28" s="119">
        <f t="shared" si="13"/>
        <v>732</v>
      </c>
      <c r="N28" s="119">
        <f t="shared" si="14"/>
        <v>732</v>
      </c>
      <c r="O28" s="120" t="s">
        <v>756</v>
      </c>
      <c r="P28" s="119">
        <f>_xlfn.XLOOKUP(Rates!$O28,$J$6:$AI$6,J28:AI28)</f>
        <v>732</v>
      </c>
      <c r="Q28" s="120"/>
      <c r="R28" s="120"/>
      <c r="S28" s="122"/>
      <c r="T28" s="122"/>
      <c r="U28" s="122"/>
      <c r="V28" s="122"/>
      <c r="W28" s="122"/>
      <c r="X28" s="122"/>
      <c r="Y28" s="122"/>
      <c r="Z28" s="127"/>
      <c r="AA28" s="127"/>
      <c r="AB28" s="127"/>
      <c r="AC28" s="127"/>
      <c r="AD28" s="122"/>
      <c r="AE28" s="122"/>
      <c r="AF28" s="122"/>
      <c r="AG28" s="122"/>
      <c r="AH28" s="122"/>
      <c r="AI28" s="119">
        <v>732</v>
      </c>
    </row>
    <row r="29" spans="2:35" ht="12.5">
      <c r="B29" s="15" t="s">
        <v>781</v>
      </c>
      <c r="C29" s="144"/>
      <c r="D29" s="118">
        <v>1000</v>
      </c>
      <c r="E29" s="244" t="s">
        <v>759</v>
      </c>
      <c r="F29" s="124" t="s">
        <v>778</v>
      </c>
      <c r="G29" s="145"/>
      <c r="H29" s="128"/>
      <c r="J29" s="119">
        <f t="shared" si="6"/>
        <v>0</v>
      </c>
      <c r="K29" s="214">
        <f t="shared" si="11"/>
        <v>0</v>
      </c>
      <c r="L29" s="119">
        <f t="shared" si="12"/>
        <v>1000</v>
      </c>
      <c r="M29" s="119">
        <f t="shared" si="13"/>
        <v>1000</v>
      </c>
      <c r="N29" s="119">
        <f t="shared" si="14"/>
        <v>1000</v>
      </c>
      <c r="O29" s="120" t="s">
        <v>756</v>
      </c>
      <c r="P29" s="119">
        <f>_xlfn.XLOOKUP(Rates!$O29,$J$6:$AI$6,J29:AI29)</f>
        <v>1000</v>
      </c>
      <c r="Q29" s="120"/>
      <c r="R29" s="120"/>
      <c r="S29" s="122"/>
      <c r="T29" s="122"/>
      <c r="U29" s="122"/>
      <c r="V29" s="122"/>
      <c r="W29" s="122"/>
      <c r="X29" s="122"/>
      <c r="Y29" s="122"/>
      <c r="Z29" s="127"/>
      <c r="AA29" s="127"/>
      <c r="AB29" s="127"/>
      <c r="AC29" s="127"/>
      <c r="AD29" s="122"/>
      <c r="AE29" s="122"/>
      <c r="AF29" s="122"/>
      <c r="AG29" s="122"/>
      <c r="AH29" s="122"/>
      <c r="AI29" s="119">
        <v>1000</v>
      </c>
    </row>
    <row r="30" spans="2:35" ht="12.5">
      <c r="B30" s="15" t="s">
        <v>782</v>
      </c>
      <c r="C30" s="144"/>
      <c r="D30" s="118">
        <v>1500</v>
      </c>
      <c r="E30" s="244" t="s">
        <v>759</v>
      </c>
      <c r="F30" s="124" t="s">
        <v>778</v>
      </c>
      <c r="G30" s="145"/>
      <c r="H30" s="128"/>
      <c r="J30" s="119">
        <f t="shared" si="6"/>
        <v>0</v>
      </c>
      <c r="K30" s="214">
        <f t="shared" si="11"/>
        <v>0</v>
      </c>
      <c r="L30" s="119">
        <f t="shared" si="12"/>
        <v>1500</v>
      </c>
      <c r="M30" s="119">
        <f t="shared" si="13"/>
        <v>1500</v>
      </c>
      <c r="N30" s="119">
        <f t="shared" si="14"/>
        <v>1500</v>
      </c>
      <c r="O30" s="120" t="s">
        <v>756</v>
      </c>
      <c r="P30" s="119">
        <f>_xlfn.XLOOKUP(Rates!$O30,$J$6:$AI$6,J30:AI30)</f>
        <v>1500</v>
      </c>
      <c r="Q30" s="120"/>
      <c r="R30" s="120"/>
      <c r="S30" s="122"/>
      <c r="T30" s="122"/>
      <c r="U30" s="122"/>
      <c r="V30" s="122"/>
      <c r="W30" s="122"/>
      <c r="X30" s="122"/>
      <c r="Y30" s="122"/>
      <c r="Z30" s="127"/>
      <c r="AA30" s="127"/>
      <c r="AB30" s="127"/>
      <c r="AC30" s="127"/>
      <c r="AD30" s="122"/>
      <c r="AE30" s="122"/>
      <c r="AF30" s="122"/>
      <c r="AG30" s="122"/>
      <c r="AH30" s="122"/>
      <c r="AI30" s="119">
        <v>1500</v>
      </c>
    </row>
    <row r="31" spans="2:35" ht="12.5">
      <c r="B31" s="15" t="s">
        <v>783</v>
      </c>
      <c r="C31" s="144"/>
      <c r="D31" s="118">
        <v>42</v>
      </c>
      <c r="E31" s="244" t="s">
        <v>759</v>
      </c>
      <c r="F31" s="124"/>
      <c r="G31" s="145"/>
      <c r="H31" s="128"/>
      <c r="J31" s="119">
        <f t="shared" si="6"/>
        <v>0</v>
      </c>
      <c r="K31" s="214">
        <f t="shared" si="11"/>
        <v>0</v>
      </c>
      <c r="L31" s="119">
        <f t="shared" si="12"/>
        <v>42</v>
      </c>
      <c r="M31" s="119">
        <f t="shared" si="13"/>
        <v>42</v>
      </c>
      <c r="N31" s="119">
        <f t="shared" si="14"/>
        <v>42</v>
      </c>
      <c r="O31" s="120" t="s">
        <v>756</v>
      </c>
      <c r="P31" s="119">
        <f>_xlfn.XLOOKUP(Rates!$O31,$J$6:$AI$6,J31:AI31)</f>
        <v>42</v>
      </c>
      <c r="Q31" s="120"/>
      <c r="R31" s="120"/>
      <c r="S31" s="127"/>
      <c r="T31" s="127"/>
      <c r="U31" s="127"/>
      <c r="V31" s="127"/>
      <c r="W31" s="127"/>
      <c r="X31" s="127"/>
      <c r="Y31" s="127"/>
      <c r="Z31" s="127"/>
      <c r="AA31" s="127"/>
      <c r="AB31" s="127"/>
      <c r="AC31" s="127"/>
      <c r="AD31" s="127"/>
      <c r="AE31" s="127"/>
      <c r="AF31" s="127"/>
      <c r="AG31" s="127"/>
      <c r="AH31" s="127"/>
      <c r="AI31" s="119">
        <v>42</v>
      </c>
    </row>
    <row r="32" spans="2:35" ht="13">
      <c r="B32" s="265" t="s">
        <v>784</v>
      </c>
      <c r="C32" s="99"/>
      <c r="AI32" s="385"/>
    </row>
    <row r="33" spans="2:35" ht="12.5">
      <c r="B33" s="15" t="s">
        <v>785</v>
      </c>
      <c r="C33" s="144"/>
      <c r="D33" s="118">
        <v>370</v>
      </c>
      <c r="E33" s="244" t="s">
        <v>759</v>
      </c>
      <c r="F33" s="15" t="s">
        <v>760</v>
      </c>
      <c r="G33" s="145"/>
      <c r="H33" s="128"/>
      <c r="J33" s="119">
        <f t="shared" si="6"/>
        <v>0</v>
      </c>
      <c r="K33" s="214">
        <f t="shared" si="7"/>
        <v>0</v>
      </c>
      <c r="L33" s="119">
        <f t="shared" ref="L33" si="15">MIN(R33:AI33)</f>
        <v>370</v>
      </c>
      <c r="M33" s="119">
        <f t="shared" ref="M33" si="16">IFERROR(AVERAGE(R33:AI33),"One rate")</f>
        <v>370</v>
      </c>
      <c r="N33" s="119">
        <f t="shared" ref="N33" si="17">MAX(R33:AI33)</f>
        <v>370</v>
      </c>
      <c r="O33" s="120" t="s">
        <v>756</v>
      </c>
      <c r="P33" s="119">
        <f>_xlfn.XLOOKUP(Rates!$O33,$J$6:$AI$6,J33:AI33)</f>
        <v>370</v>
      </c>
      <c r="Q33" s="130"/>
      <c r="R33" s="131"/>
      <c r="S33" s="132"/>
      <c r="T33" s="122"/>
      <c r="U33" s="122"/>
      <c r="V33" s="122"/>
      <c r="W33" s="122"/>
      <c r="X33" s="122"/>
      <c r="Y33" s="122"/>
      <c r="Z33" s="127"/>
      <c r="AA33" s="127"/>
      <c r="AB33" s="127"/>
      <c r="AC33" s="127"/>
      <c r="AD33" s="122"/>
      <c r="AE33" s="122"/>
      <c r="AF33" s="122"/>
      <c r="AG33" s="122"/>
      <c r="AH33" s="122"/>
      <c r="AI33" s="119">
        <v>370</v>
      </c>
    </row>
    <row r="34" spans="2:35" ht="13">
      <c r="B34" s="265" t="s">
        <v>786</v>
      </c>
      <c r="C34" s="99"/>
      <c r="AI34" s="385"/>
    </row>
    <row r="35" spans="2:35" ht="12.5">
      <c r="B35" s="15" t="s">
        <v>787</v>
      </c>
      <c r="C35" s="144"/>
      <c r="D35" s="118">
        <v>270</v>
      </c>
      <c r="E35" s="244" t="s">
        <v>759</v>
      </c>
      <c r="F35" s="15" t="s">
        <v>760</v>
      </c>
      <c r="G35" s="145"/>
      <c r="H35" s="128"/>
      <c r="J35" s="119">
        <f t="shared" si="6"/>
        <v>0</v>
      </c>
      <c r="K35" s="214">
        <f t="shared" si="7"/>
        <v>0</v>
      </c>
      <c r="L35" s="119">
        <f t="shared" ref="L35" si="18">MIN(R35:AI35)</f>
        <v>270</v>
      </c>
      <c r="M35" s="119">
        <f t="shared" ref="M35" si="19">IFERROR(AVERAGE(R35:AI35),"One rate")</f>
        <v>270</v>
      </c>
      <c r="N35" s="119">
        <f t="shared" ref="N35" si="20">MAX(R35:AI35)</f>
        <v>270</v>
      </c>
      <c r="O35" s="120" t="s">
        <v>741</v>
      </c>
      <c r="P35" s="119">
        <f>_xlfn.XLOOKUP(Rates!$O35,$J$6:$AI$6,J35:AI35)</f>
        <v>270</v>
      </c>
      <c r="Q35" s="120"/>
      <c r="R35" s="120"/>
      <c r="S35" s="122"/>
      <c r="T35" s="122">
        <v>270</v>
      </c>
      <c r="U35" s="122"/>
      <c r="V35" s="122"/>
      <c r="W35" s="122"/>
      <c r="X35" s="120"/>
      <c r="Y35" s="120"/>
      <c r="Z35" s="122"/>
      <c r="AA35" s="122"/>
      <c r="AB35" s="120"/>
      <c r="AC35" s="120"/>
      <c r="AD35" s="120"/>
      <c r="AE35" s="120"/>
      <c r="AF35" s="120"/>
      <c r="AG35" s="120"/>
      <c r="AH35" s="120"/>
      <c r="AI35" s="119"/>
    </row>
    <row r="36" spans="2:35" ht="12.5">
      <c r="B36" s="15" t="s">
        <v>788</v>
      </c>
      <c r="C36" s="144"/>
      <c r="D36" s="118">
        <v>300</v>
      </c>
      <c r="E36" s="244" t="s">
        <v>759</v>
      </c>
      <c r="F36" s="15" t="s">
        <v>760</v>
      </c>
      <c r="G36" s="145"/>
      <c r="H36" s="128"/>
      <c r="J36" s="119">
        <f t="shared" si="6"/>
        <v>0</v>
      </c>
      <c r="K36" s="214">
        <f t="shared" si="7"/>
        <v>0</v>
      </c>
      <c r="L36" s="119">
        <f t="shared" ref="L36:L38" si="21">MIN(R36:AI36)</f>
        <v>300</v>
      </c>
      <c r="M36" s="119">
        <f t="shared" ref="M36:M38" si="22">IFERROR(AVERAGE(R36:AI36),"One rate")</f>
        <v>300</v>
      </c>
      <c r="N36" s="119">
        <f t="shared" ref="N36:N38" si="23">MAX(R36:AI36)</f>
        <v>300</v>
      </c>
      <c r="O36" s="120" t="s">
        <v>741</v>
      </c>
      <c r="P36" s="119">
        <f>_xlfn.XLOOKUP(Rates!$O36,$J$6:$AI$6,J36:AI36)</f>
        <v>300</v>
      </c>
      <c r="Q36" s="120"/>
      <c r="R36" s="133"/>
      <c r="S36" s="122"/>
      <c r="T36" s="122">
        <v>300</v>
      </c>
      <c r="U36" s="122"/>
      <c r="V36" s="122"/>
      <c r="W36" s="122"/>
      <c r="X36" s="122"/>
      <c r="Y36" s="122"/>
      <c r="Z36" s="127"/>
      <c r="AA36" s="127"/>
      <c r="AB36" s="127"/>
      <c r="AC36" s="127"/>
      <c r="AD36" s="122"/>
      <c r="AE36" s="122"/>
      <c r="AF36" s="122"/>
      <c r="AG36" s="122"/>
      <c r="AH36" s="122"/>
      <c r="AI36" s="119"/>
    </row>
    <row r="37" spans="2:35" ht="12.5">
      <c r="B37" s="15" t="s">
        <v>789</v>
      </c>
      <c r="C37" s="144"/>
      <c r="D37" s="118">
        <v>456</v>
      </c>
      <c r="E37" s="244" t="s">
        <v>759</v>
      </c>
      <c r="F37" s="15" t="s">
        <v>760</v>
      </c>
      <c r="G37" s="145"/>
      <c r="H37" s="128"/>
      <c r="J37" s="119">
        <f t="shared" si="6"/>
        <v>96</v>
      </c>
      <c r="K37" s="214">
        <f t="shared" si="7"/>
        <v>0.26666666666666666</v>
      </c>
      <c r="L37" s="119">
        <f t="shared" si="21"/>
        <v>360</v>
      </c>
      <c r="M37" s="119">
        <f t="shared" si="22"/>
        <v>408</v>
      </c>
      <c r="N37" s="119">
        <f t="shared" si="23"/>
        <v>456</v>
      </c>
      <c r="O37" s="120" t="s">
        <v>741</v>
      </c>
      <c r="P37" s="119">
        <f>_xlfn.XLOOKUP(Rates!$O37,$J$6:$AI$6,J37:AI37)</f>
        <v>456</v>
      </c>
      <c r="Q37" s="134"/>
      <c r="R37" s="135"/>
      <c r="S37" s="132"/>
      <c r="T37" s="122">
        <v>456</v>
      </c>
      <c r="U37" s="120"/>
      <c r="V37" s="120"/>
      <c r="W37" s="120"/>
      <c r="X37" s="120"/>
      <c r="Y37" s="120"/>
      <c r="Z37" s="120"/>
      <c r="AA37" s="120"/>
      <c r="AB37" s="120"/>
      <c r="AC37" s="120"/>
      <c r="AD37" s="120"/>
      <c r="AE37" s="120"/>
      <c r="AF37" s="120"/>
      <c r="AG37" s="120"/>
      <c r="AH37" s="120"/>
      <c r="AI37" s="119">
        <v>360</v>
      </c>
    </row>
    <row r="38" spans="2:35" ht="12.5">
      <c r="B38" s="15" t="s">
        <v>790</v>
      </c>
      <c r="C38" s="144"/>
      <c r="D38" s="118">
        <v>774</v>
      </c>
      <c r="E38" s="244" t="s">
        <v>759</v>
      </c>
      <c r="F38" s="15" t="s">
        <v>760</v>
      </c>
      <c r="G38" s="145"/>
      <c r="H38" s="128"/>
      <c r="J38" s="119">
        <f t="shared" si="6"/>
        <v>0</v>
      </c>
      <c r="K38" s="214">
        <f t="shared" ref="K38" si="24">IF(L38=0,"No min",$J38/$L38)</f>
        <v>0</v>
      </c>
      <c r="L38" s="119">
        <f t="shared" si="21"/>
        <v>774</v>
      </c>
      <c r="M38" s="119">
        <f t="shared" si="22"/>
        <v>774</v>
      </c>
      <c r="N38" s="119">
        <f t="shared" si="23"/>
        <v>774</v>
      </c>
      <c r="O38" s="120" t="s">
        <v>741</v>
      </c>
      <c r="P38" s="119">
        <f>_xlfn.XLOOKUP(Rates!$O38,$J$6:$AI$6,J38:AI38)</f>
        <v>774</v>
      </c>
      <c r="Q38" s="134"/>
      <c r="R38" s="135"/>
      <c r="S38" s="132"/>
      <c r="T38" s="122">
        <v>774</v>
      </c>
      <c r="U38" s="120"/>
      <c r="V38" s="120"/>
      <c r="W38" s="120"/>
      <c r="X38" s="120"/>
      <c r="Y38" s="120"/>
      <c r="Z38" s="120"/>
      <c r="AA38" s="120"/>
      <c r="AB38" s="120"/>
      <c r="AC38" s="120"/>
      <c r="AD38" s="120"/>
      <c r="AE38" s="120"/>
      <c r="AF38" s="120"/>
      <c r="AG38" s="120"/>
      <c r="AH38" s="120"/>
      <c r="AI38" s="119">
        <v>774</v>
      </c>
    </row>
    <row r="39" spans="2:35" ht="13">
      <c r="B39" s="265" t="s">
        <v>791</v>
      </c>
      <c r="C39" s="99"/>
      <c r="R39" s="386"/>
      <c r="AI39" s="385"/>
    </row>
    <row r="40" spans="2:35" ht="12.5">
      <c r="B40" s="15" t="s">
        <v>792</v>
      </c>
      <c r="C40" s="144"/>
      <c r="D40" s="118">
        <v>60</v>
      </c>
      <c r="E40" s="244" t="s">
        <v>759</v>
      </c>
      <c r="F40" s="15"/>
      <c r="G40" s="145"/>
      <c r="H40" s="128"/>
      <c r="J40" s="119">
        <f t="shared" si="6"/>
        <v>0</v>
      </c>
      <c r="K40" s="214">
        <f t="shared" si="7"/>
        <v>0</v>
      </c>
      <c r="L40" s="119">
        <f t="shared" ref="L40" si="25">MIN(R40:AI40)</f>
        <v>60</v>
      </c>
      <c r="M40" s="119">
        <f t="shared" ref="M40" si="26">IFERROR(AVERAGE(R40:AI40),"One rate")</f>
        <v>60</v>
      </c>
      <c r="N40" s="119">
        <f t="shared" ref="N40" si="27">MAX(R40:AI40)</f>
        <v>60</v>
      </c>
      <c r="O40" s="120" t="s">
        <v>756</v>
      </c>
      <c r="P40" s="119">
        <f>_xlfn.XLOOKUP(Rates!$O40,$J$6:$AI$6,J40:AI40)</f>
        <v>60</v>
      </c>
      <c r="Q40" s="120"/>
      <c r="R40" s="129"/>
      <c r="S40" s="122"/>
      <c r="T40" s="122">
        <v>60</v>
      </c>
      <c r="U40" s="120"/>
      <c r="V40" s="120"/>
      <c r="W40" s="120"/>
      <c r="X40" s="120"/>
      <c r="Y40" s="120"/>
      <c r="Z40" s="120"/>
      <c r="AA40" s="120"/>
      <c r="AB40" s="120"/>
      <c r="AC40" s="120"/>
      <c r="AD40" s="120"/>
      <c r="AE40" s="120"/>
      <c r="AF40" s="120"/>
      <c r="AG40" s="120"/>
      <c r="AH40" s="120"/>
      <c r="AI40" s="119">
        <v>60</v>
      </c>
    </row>
    <row r="41" spans="2:35" ht="12.5">
      <c r="B41" s="15" t="s">
        <v>793</v>
      </c>
      <c r="C41" s="144"/>
      <c r="D41" s="118">
        <v>72</v>
      </c>
      <c r="E41" s="244" t="s">
        <v>759</v>
      </c>
      <c r="F41" s="15"/>
      <c r="G41" s="145"/>
      <c r="H41" s="128"/>
      <c r="J41" s="119">
        <f t="shared" si="6"/>
        <v>0</v>
      </c>
      <c r="K41" s="214">
        <f t="shared" si="7"/>
        <v>0</v>
      </c>
      <c r="L41" s="119">
        <f t="shared" ref="L41:L48" si="28">MIN(R41:AI41)</f>
        <v>72</v>
      </c>
      <c r="M41" s="119">
        <f t="shared" ref="M41:M48" si="29">IFERROR(AVERAGE(R41:AI41),"One rate")</f>
        <v>72</v>
      </c>
      <c r="N41" s="119">
        <f t="shared" ref="N41:N48" si="30">MAX(R41:AI41)</f>
        <v>72</v>
      </c>
      <c r="O41" s="120" t="s">
        <v>756</v>
      </c>
      <c r="P41" s="119">
        <f>_xlfn.XLOOKUP(Rates!$O41,$J$6:$AI$6,J41:AI41)</f>
        <v>72</v>
      </c>
      <c r="Q41" s="120"/>
      <c r="R41" s="120"/>
      <c r="S41" s="136"/>
      <c r="T41" s="122">
        <v>72</v>
      </c>
      <c r="U41" s="120"/>
      <c r="V41" s="120"/>
      <c r="W41" s="120"/>
      <c r="X41" s="120"/>
      <c r="Y41" s="120"/>
      <c r="Z41" s="120"/>
      <c r="AA41" s="120"/>
      <c r="AB41" s="120"/>
      <c r="AC41" s="120"/>
      <c r="AD41" s="120"/>
      <c r="AE41" s="120"/>
      <c r="AF41" s="120"/>
      <c r="AG41" s="120"/>
      <c r="AH41" s="120"/>
      <c r="AI41" s="119">
        <v>72</v>
      </c>
    </row>
    <row r="42" spans="2:35" ht="12.5">
      <c r="B42" s="15" t="s">
        <v>794</v>
      </c>
      <c r="C42" s="144"/>
      <c r="D42" s="118">
        <v>84</v>
      </c>
      <c r="E42" s="244" t="s">
        <v>759</v>
      </c>
      <c r="F42" s="15"/>
      <c r="G42" s="145"/>
      <c r="H42" s="128"/>
      <c r="J42" s="119">
        <f t="shared" si="6"/>
        <v>0</v>
      </c>
      <c r="K42" s="214">
        <f t="shared" si="7"/>
        <v>0</v>
      </c>
      <c r="L42" s="119">
        <f t="shared" si="28"/>
        <v>84</v>
      </c>
      <c r="M42" s="119">
        <f t="shared" si="29"/>
        <v>84</v>
      </c>
      <c r="N42" s="119">
        <f t="shared" si="30"/>
        <v>84</v>
      </c>
      <c r="O42" s="120" t="s">
        <v>756</v>
      </c>
      <c r="P42" s="119">
        <f>_xlfn.XLOOKUP(Rates!$O42,$J$6:$AI$6,J42:AI42)</f>
        <v>84</v>
      </c>
      <c r="Q42" s="120"/>
      <c r="R42" s="134"/>
      <c r="S42" s="137"/>
      <c r="T42" s="132">
        <v>84</v>
      </c>
      <c r="U42" s="120"/>
      <c r="V42" s="120"/>
      <c r="W42" s="120"/>
      <c r="X42" s="120"/>
      <c r="Y42" s="120"/>
      <c r="Z42" s="120"/>
      <c r="AA42" s="120"/>
      <c r="AB42" s="120"/>
      <c r="AC42" s="120"/>
      <c r="AD42" s="120"/>
      <c r="AE42" s="120"/>
      <c r="AF42" s="120"/>
      <c r="AG42" s="120"/>
      <c r="AH42" s="120"/>
      <c r="AI42" s="119">
        <v>84</v>
      </c>
    </row>
    <row r="43" spans="2:35" ht="12.5">
      <c r="B43" s="15" t="s">
        <v>795</v>
      </c>
      <c r="C43" s="144"/>
      <c r="D43" s="118">
        <v>60</v>
      </c>
      <c r="E43" s="244" t="s">
        <v>759</v>
      </c>
      <c r="F43" s="15"/>
      <c r="G43" s="145"/>
      <c r="H43" s="128"/>
      <c r="J43" s="119">
        <f t="shared" si="6"/>
        <v>0</v>
      </c>
      <c r="K43" s="214">
        <f t="shared" si="7"/>
        <v>0</v>
      </c>
      <c r="L43" s="119">
        <f t="shared" si="28"/>
        <v>60</v>
      </c>
      <c r="M43" s="119">
        <f t="shared" si="29"/>
        <v>60</v>
      </c>
      <c r="N43" s="119">
        <f t="shared" si="30"/>
        <v>60</v>
      </c>
      <c r="O43" s="120" t="s">
        <v>756</v>
      </c>
      <c r="P43" s="119">
        <f>_xlfn.XLOOKUP(Rates!$O43,$J$6:$AI$6,J43:AI43)</f>
        <v>60</v>
      </c>
      <c r="Q43" s="120"/>
      <c r="R43" s="134"/>
      <c r="S43" s="138"/>
      <c r="T43" s="132">
        <v>60</v>
      </c>
      <c r="U43" s="120"/>
      <c r="V43" s="120"/>
      <c r="W43" s="120"/>
      <c r="X43" s="120"/>
      <c r="Y43" s="120"/>
      <c r="Z43" s="120"/>
      <c r="AA43" s="120"/>
      <c r="AB43" s="120"/>
      <c r="AC43" s="120"/>
      <c r="AD43" s="120"/>
      <c r="AE43" s="120"/>
      <c r="AF43" s="120"/>
      <c r="AG43" s="120"/>
      <c r="AH43" s="120"/>
      <c r="AI43" s="119">
        <v>60</v>
      </c>
    </row>
    <row r="44" spans="2:35" ht="12.5">
      <c r="B44" s="15" t="s">
        <v>796</v>
      </c>
      <c r="C44" s="144"/>
      <c r="D44" s="118">
        <v>72</v>
      </c>
      <c r="E44" s="244" t="s">
        <v>759</v>
      </c>
      <c r="F44" s="15"/>
      <c r="G44" s="145"/>
      <c r="H44" s="128"/>
      <c r="J44" s="119">
        <f t="shared" si="6"/>
        <v>0</v>
      </c>
      <c r="K44" s="214">
        <f t="shared" si="7"/>
        <v>0</v>
      </c>
      <c r="L44" s="119">
        <f t="shared" si="28"/>
        <v>72</v>
      </c>
      <c r="M44" s="119">
        <f t="shared" si="29"/>
        <v>72</v>
      </c>
      <c r="N44" s="119">
        <f t="shared" si="30"/>
        <v>72</v>
      </c>
      <c r="O44" s="120" t="s">
        <v>756</v>
      </c>
      <c r="P44" s="119">
        <f>_xlfn.XLOOKUP(Rates!$O44,$J$6:$AI$6,J44:AI44)</f>
        <v>72</v>
      </c>
      <c r="Q44" s="120"/>
      <c r="R44" s="120"/>
      <c r="S44" s="139"/>
      <c r="T44" s="122">
        <v>72</v>
      </c>
      <c r="U44" s="120"/>
      <c r="V44" s="120"/>
      <c r="W44" s="120"/>
      <c r="X44" s="120"/>
      <c r="Y44" s="120"/>
      <c r="Z44" s="120"/>
      <c r="AA44" s="120"/>
      <c r="AB44" s="120"/>
      <c r="AC44" s="120"/>
      <c r="AD44" s="120"/>
      <c r="AE44" s="120"/>
      <c r="AF44" s="120"/>
      <c r="AG44" s="120"/>
      <c r="AH44" s="120"/>
      <c r="AI44" s="119">
        <v>72</v>
      </c>
    </row>
    <row r="45" spans="2:35" ht="12.5">
      <c r="B45" s="15" t="s">
        <v>797</v>
      </c>
      <c r="C45" s="144"/>
      <c r="D45" s="118">
        <v>114</v>
      </c>
      <c r="E45" s="244" t="s">
        <v>759</v>
      </c>
      <c r="F45" s="15"/>
      <c r="G45" s="145"/>
      <c r="H45" s="128"/>
      <c r="J45" s="119">
        <f t="shared" si="6"/>
        <v>0</v>
      </c>
      <c r="K45" s="214">
        <f t="shared" si="7"/>
        <v>0</v>
      </c>
      <c r="L45" s="119">
        <f t="shared" si="28"/>
        <v>114</v>
      </c>
      <c r="M45" s="119">
        <f t="shared" si="29"/>
        <v>114</v>
      </c>
      <c r="N45" s="119">
        <f t="shared" si="30"/>
        <v>114</v>
      </c>
      <c r="O45" s="120" t="s">
        <v>756</v>
      </c>
      <c r="P45" s="119">
        <f>_xlfn.XLOOKUP(Rates!$O45,$J$6:$AI$6,J45:AI45)</f>
        <v>114</v>
      </c>
      <c r="Q45" s="120"/>
      <c r="R45" s="120"/>
      <c r="S45" s="122"/>
      <c r="T45" s="122">
        <v>114</v>
      </c>
      <c r="U45" s="120"/>
      <c r="V45" s="120"/>
      <c r="W45" s="120"/>
      <c r="X45" s="120"/>
      <c r="Y45" s="120"/>
      <c r="Z45" s="120"/>
      <c r="AA45" s="120"/>
      <c r="AB45" s="120"/>
      <c r="AC45" s="120"/>
      <c r="AD45" s="120"/>
      <c r="AE45" s="120"/>
      <c r="AF45" s="120"/>
      <c r="AG45" s="120"/>
      <c r="AH45" s="120"/>
      <c r="AI45" s="119">
        <v>114</v>
      </c>
    </row>
    <row r="46" spans="2:35" ht="12.5">
      <c r="B46" s="15" t="s">
        <v>798</v>
      </c>
      <c r="C46" s="144"/>
      <c r="D46" s="118">
        <v>60</v>
      </c>
      <c r="E46" s="244" t="s">
        <v>759</v>
      </c>
      <c r="F46" s="15"/>
      <c r="G46" s="145"/>
      <c r="H46" s="128"/>
      <c r="J46" s="119">
        <f t="shared" si="6"/>
        <v>0</v>
      </c>
      <c r="K46" s="214">
        <f t="shared" si="7"/>
        <v>0</v>
      </c>
      <c r="L46" s="119">
        <f t="shared" si="28"/>
        <v>60</v>
      </c>
      <c r="M46" s="119">
        <f t="shared" si="29"/>
        <v>60</v>
      </c>
      <c r="N46" s="119">
        <f t="shared" si="30"/>
        <v>60</v>
      </c>
      <c r="O46" s="120" t="s">
        <v>756</v>
      </c>
      <c r="P46" s="119">
        <f>_xlfn.XLOOKUP(Rates!$O46,$J$6:$AI$6,J46:AI46)</f>
        <v>60</v>
      </c>
      <c r="Q46" s="120"/>
      <c r="R46" s="120"/>
      <c r="S46" s="122"/>
      <c r="T46" s="122">
        <v>60</v>
      </c>
      <c r="U46" s="120"/>
      <c r="V46" s="120"/>
      <c r="W46" s="120"/>
      <c r="X46" s="120"/>
      <c r="Y46" s="120"/>
      <c r="Z46" s="120"/>
      <c r="AA46" s="120"/>
      <c r="AB46" s="120"/>
      <c r="AC46" s="120"/>
      <c r="AD46" s="120"/>
      <c r="AE46" s="120"/>
      <c r="AF46" s="120"/>
      <c r="AG46" s="120"/>
      <c r="AH46" s="120"/>
      <c r="AI46" s="119">
        <v>60</v>
      </c>
    </row>
    <row r="47" spans="2:35" ht="12.5">
      <c r="B47" s="15" t="s">
        <v>799</v>
      </c>
      <c r="C47" s="144"/>
      <c r="D47" s="118">
        <v>72</v>
      </c>
      <c r="E47" s="244" t="s">
        <v>759</v>
      </c>
      <c r="F47" s="15"/>
      <c r="G47" s="145"/>
      <c r="H47" s="128"/>
      <c r="J47" s="119">
        <f t="shared" si="6"/>
        <v>0</v>
      </c>
      <c r="K47" s="214">
        <f t="shared" si="7"/>
        <v>0</v>
      </c>
      <c r="L47" s="119">
        <f t="shared" si="28"/>
        <v>72</v>
      </c>
      <c r="M47" s="119">
        <f t="shared" si="29"/>
        <v>72</v>
      </c>
      <c r="N47" s="119">
        <f t="shared" si="30"/>
        <v>72</v>
      </c>
      <c r="O47" s="120" t="s">
        <v>756</v>
      </c>
      <c r="P47" s="119">
        <f>_xlfn.XLOOKUP(Rates!$O47,$J$6:$AI$6,J47:AI47)</f>
        <v>72</v>
      </c>
      <c r="Q47" s="120"/>
      <c r="R47" s="120"/>
      <c r="S47" s="122"/>
      <c r="T47" s="122">
        <v>72</v>
      </c>
      <c r="U47" s="120"/>
      <c r="V47" s="120"/>
      <c r="W47" s="120"/>
      <c r="X47" s="120"/>
      <c r="Y47" s="120"/>
      <c r="Z47" s="120"/>
      <c r="AA47" s="120"/>
      <c r="AB47" s="120"/>
      <c r="AC47" s="120"/>
      <c r="AD47" s="120"/>
      <c r="AE47" s="120"/>
      <c r="AF47" s="120"/>
      <c r="AG47" s="120"/>
      <c r="AH47" s="120"/>
      <c r="AI47" s="119">
        <v>72</v>
      </c>
    </row>
    <row r="48" spans="2:35" ht="12.5">
      <c r="B48" s="15" t="s">
        <v>800</v>
      </c>
      <c r="C48" s="144"/>
      <c r="D48" s="118">
        <v>84</v>
      </c>
      <c r="E48" s="244" t="s">
        <v>759</v>
      </c>
      <c r="F48" s="15"/>
      <c r="G48" s="145"/>
      <c r="H48" s="128"/>
      <c r="J48" s="119">
        <f t="shared" si="6"/>
        <v>0</v>
      </c>
      <c r="K48" s="214">
        <f t="shared" si="7"/>
        <v>0</v>
      </c>
      <c r="L48" s="119">
        <f t="shared" si="28"/>
        <v>84</v>
      </c>
      <c r="M48" s="119">
        <f t="shared" si="29"/>
        <v>84</v>
      </c>
      <c r="N48" s="119">
        <f t="shared" si="30"/>
        <v>84</v>
      </c>
      <c r="O48" s="120" t="s">
        <v>756</v>
      </c>
      <c r="P48" s="119">
        <f>_xlfn.XLOOKUP(Rates!$O48,$J$6:$AI$6,J48:AI48)</f>
        <v>84</v>
      </c>
      <c r="Q48" s="120"/>
      <c r="R48" s="120"/>
      <c r="S48" s="122"/>
      <c r="T48" s="122">
        <v>84</v>
      </c>
      <c r="U48" s="120"/>
      <c r="V48" s="120"/>
      <c r="W48" s="120"/>
      <c r="X48" s="120"/>
      <c r="Y48" s="120"/>
      <c r="Z48" s="120"/>
      <c r="AA48" s="120"/>
      <c r="AB48" s="120"/>
      <c r="AC48" s="120"/>
      <c r="AD48" s="120"/>
      <c r="AE48" s="120"/>
      <c r="AF48" s="120"/>
      <c r="AG48" s="120"/>
      <c r="AH48" s="120"/>
      <c r="AI48" s="119">
        <v>84</v>
      </c>
    </row>
    <row r="49" spans="2:35" ht="13">
      <c r="B49" s="265" t="s">
        <v>801</v>
      </c>
      <c r="C49" s="99"/>
      <c r="H49" s="244"/>
      <c r="R49" s="386"/>
      <c r="AI49" s="385"/>
    </row>
    <row r="50" spans="2:35" ht="12.5">
      <c r="B50" s="15" t="s">
        <v>802</v>
      </c>
      <c r="C50" s="144"/>
      <c r="D50" s="118">
        <v>2000</v>
      </c>
      <c r="E50" s="244" t="s">
        <v>452</v>
      </c>
      <c r="F50" s="124" t="s">
        <v>640</v>
      </c>
      <c r="G50" s="145"/>
      <c r="H50" s="128"/>
      <c r="J50" s="119">
        <f t="shared" si="6"/>
        <v>0</v>
      </c>
      <c r="K50" s="214">
        <f t="shared" ref="K50" si="31">IF(L50=0,"No min",$J50/$L50)</f>
        <v>0</v>
      </c>
      <c r="L50" s="119">
        <f t="shared" ref="L50" si="32">MIN(R50:AI50)</f>
        <v>2000</v>
      </c>
      <c r="M50" s="119">
        <f t="shared" ref="M50" si="33">IFERROR(AVERAGE(R50:AI50),"One rate")</f>
        <v>2000</v>
      </c>
      <c r="N50" s="119">
        <f t="shared" ref="N50" si="34">MAX(R50:AI50)</f>
        <v>2000</v>
      </c>
      <c r="O50" s="120" t="s">
        <v>756</v>
      </c>
      <c r="P50" s="119">
        <f>_xlfn.XLOOKUP(Rates!$O50,$J$6:$AI$6,J50:AI50)</f>
        <v>2000</v>
      </c>
      <c r="Q50" s="120"/>
      <c r="R50" s="120"/>
      <c r="S50" s="122"/>
      <c r="T50" s="122"/>
      <c r="U50" s="120"/>
      <c r="V50" s="120"/>
      <c r="W50" s="120"/>
      <c r="X50" s="120"/>
      <c r="Y50" s="120"/>
      <c r="Z50" s="120"/>
      <c r="AA50" s="120"/>
      <c r="AB50" s="120"/>
      <c r="AC50" s="120"/>
      <c r="AD50" s="120"/>
      <c r="AE50" s="120"/>
      <c r="AF50" s="120"/>
      <c r="AG50" s="120"/>
      <c r="AH50" s="120"/>
      <c r="AI50" s="119">
        <v>2000</v>
      </c>
    </row>
    <row r="51" spans="2:35" ht="13">
      <c r="B51" s="265" t="s">
        <v>803</v>
      </c>
      <c r="C51" s="99"/>
      <c r="AI51" s="385"/>
    </row>
    <row r="52" spans="2:35" ht="12.5">
      <c r="B52" s="15" t="s">
        <v>804</v>
      </c>
      <c r="C52" s="144"/>
      <c r="D52" s="118">
        <v>252</v>
      </c>
      <c r="E52" s="244" t="s">
        <v>759</v>
      </c>
      <c r="F52" s="124" t="s">
        <v>805</v>
      </c>
      <c r="G52" s="145"/>
      <c r="H52" s="128"/>
      <c r="J52" s="119">
        <f t="shared" si="6"/>
        <v>0</v>
      </c>
      <c r="K52" s="214">
        <f t="shared" si="7"/>
        <v>0</v>
      </c>
      <c r="L52" s="119">
        <f t="shared" ref="L52" si="35">MIN(R52:AI52)</f>
        <v>252</v>
      </c>
      <c r="M52" s="119">
        <f t="shared" ref="M52" si="36">IFERROR(AVERAGE(R52:AI52),"One rate")</f>
        <v>252</v>
      </c>
      <c r="N52" s="119">
        <f t="shared" ref="N52" si="37">MAX(R52:AI52)</f>
        <v>252</v>
      </c>
      <c r="O52" s="120" t="s">
        <v>741</v>
      </c>
      <c r="P52" s="119">
        <f>_xlfn.XLOOKUP(Rates!$O52,$J$6:$AI$6,J52:AI52)</f>
        <v>252</v>
      </c>
      <c r="Q52" s="120"/>
      <c r="R52" s="120"/>
      <c r="S52" s="122"/>
      <c r="T52" s="122">
        <v>252</v>
      </c>
      <c r="U52" s="122"/>
      <c r="V52" s="122"/>
      <c r="W52" s="122"/>
      <c r="X52" s="122"/>
      <c r="Y52" s="122"/>
      <c r="Z52" s="127"/>
      <c r="AA52" s="127"/>
      <c r="AB52" s="127"/>
      <c r="AC52" s="127"/>
      <c r="AD52" s="122"/>
      <c r="AE52" s="122"/>
      <c r="AF52" s="122"/>
      <c r="AG52" s="122"/>
      <c r="AH52" s="122"/>
      <c r="AI52" s="119"/>
    </row>
    <row r="53" spans="2:35" ht="12.5">
      <c r="B53" s="15" t="s">
        <v>806</v>
      </c>
      <c r="C53" s="144"/>
      <c r="D53" s="118">
        <v>264</v>
      </c>
      <c r="E53" s="244" t="s">
        <v>759</v>
      </c>
      <c r="F53" s="124" t="s">
        <v>805</v>
      </c>
      <c r="G53" s="145"/>
      <c r="H53" s="128"/>
      <c r="J53" s="119">
        <f t="shared" si="6"/>
        <v>0</v>
      </c>
      <c r="K53" s="214">
        <f t="shared" si="7"/>
        <v>0</v>
      </c>
      <c r="L53" s="119">
        <f t="shared" ref="L53" si="38">MIN(R53:AI53)</f>
        <v>264</v>
      </c>
      <c r="M53" s="119">
        <f t="shared" ref="M53" si="39">IFERROR(AVERAGE(R53:AI53),"One rate")</f>
        <v>264</v>
      </c>
      <c r="N53" s="119">
        <f t="shared" ref="N53" si="40">MAX(R53:AI53)</f>
        <v>264</v>
      </c>
      <c r="O53" s="120" t="s">
        <v>741</v>
      </c>
      <c r="P53" s="119">
        <f>_xlfn.XLOOKUP(Rates!$O53,$J$6:$AI$6,J53:AI53)</f>
        <v>264</v>
      </c>
      <c r="Q53" s="120"/>
      <c r="R53" s="120"/>
      <c r="S53" s="122"/>
      <c r="T53" s="122">
        <v>264</v>
      </c>
      <c r="U53" s="122"/>
      <c r="V53" s="122"/>
      <c r="W53" s="122"/>
      <c r="X53" s="122"/>
      <c r="Y53" s="122"/>
      <c r="Z53" s="127"/>
      <c r="AA53" s="127"/>
      <c r="AB53" s="127"/>
      <c r="AC53" s="127"/>
      <c r="AD53" s="122"/>
      <c r="AE53" s="122"/>
      <c r="AF53" s="122"/>
      <c r="AG53" s="122"/>
      <c r="AH53" s="122"/>
      <c r="AI53" s="119"/>
    </row>
    <row r="54" spans="2:35" ht="13">
      <c r="B54" s="265" t="s">
        <v>807</v>
      </c>
      <c r="C54" s="99"/>
      <c r="AI54" s="385"/>
    </row>
    <row r="55" spans="2:35" ht="12.5">
      <c r="B55" s="15" t="s">
        <v>808</v>
      </c>
      <c r="C55" s="144"/>
      <c r="D55" s="118">
        <v>900</v>
      </c>
      <c r="E55" s="244" t="s">
        <v>636</v>
      </c>
      <c r="F55" s="140" t="s">
        <v>809</v>
      </c>
      <c r="G55" s="145"/>
      <c r="H55" s="128"/>
      <c r="J55" s="119">
        <f>$N55-$L55</f>
        <v>0</v>
      </c>
      <c r="K55" s="214">
        <f>IF(L55=0,"No min",$J55/$L55)</f>
        <v>0</v>
      </c>
      <c r="L55" s="119">
        <f t="shared" ref="L55:L56" si="41">MIN(R55:AI55)</f>
        <v>900</v>
      </c>
      <c r="M55" s="119">
        <f t="shared" ref="M55:M56" si="42">IFERROR(AVERAGE(R55:AI55),"One rate")</f>
        <v>900</v>
      </c>
      <c r="N55" s="119">
        <f t="shared" ref="N55:N56" si="43">MAX(R55:AI55)</f>
        <v>900</v>
      </c>
      <c r="O55" s="120" t="s">
        <v>756</v>
      </c>
      <c r="P55" s="119">
        <f>_xlfn.XLOOKUP(Rates!$O55,$J$6:$AI$6,J55:AI55)</f>
        <v>900</v>
      </c>
      <c r="Q55" s="120"/>
      <c r="R55" s="119"/>
      <c r="S55" s="119"/>
      <c r="T55" s="119"/>
      <c r="U55" s="119"/>
      <c r="V55" s="119"/>
      <c r="W55" s="119"/>
      <c r="X55" s="119"/>
      <c r="Y55" s="119"/>
      <c r="Z55" s="119"/>
      <c r="AA55" s="119"/>
      <c r="AB55" s="119"/>
      <c r="AC55" s="119"/>
      <c r="AD55" s="119"/>
      <c r="AE55" s="119"/>
      <c r="AF55" s="119"/>
      <c r="AG55" s="119"/>
      <c r="AH55" s="119"/>
      <c r="AI55" s="119">
        <v>900</v>
      </c>
    </row>
    <row r="56" spans="2:35" ht="12.5">
      <c r="B56" s="15" t="s">
        <v>810</v>
      </c>
      <c r="C56" s="144"/>
      <c r="D56" s="118">
        <v>600</v>
      </c>
      <c r="E56" s="244" t="s">
        <v>636</v>
      </c>
      <c r="F56" s="140" t="s">
        <v>809</v>
      </c>
      <c r="G56" s="145"/>
      <c r="H56" s="128"/>
      <c r="J56" s="119">
        <f>$N56-$L56</f>
        <v>0</v>
      </c>
      <c r="K56" s="214">
        <f>IF(L56=0,"No min",$J56/$L56)</f>
        <v>0</v>
      </c>
      <c r="L56" s="119">
        <f t="shared" si="41"/>
        <v>600</v>
      </c>
      <c r="M56" s="119">
        <f t="shared" si="42"/>
        <v>600</v>
      </c>
      <c r="N56" s="119">
        <f t="shared" si="43"/>
        <v>600</v>
      </c>
      <c r="O56" s="120" t="s">
        <v>756</v>
      </c>
      <c r="P56" s="119">
        <f>_xlfn.XLOOKUP(Rates!$O56,$J$6:$AI$6,J56:AI56)</f>
        <v>600</v>
      </c>
      <c r="Q56" s="120"/>
      <c r="R56" s="119"/>
      <c r="S56" s="119"/>
      <c r="T56" s="119"/>
      <c r="U56" s="119"/>
      <c r="V56" s="119"/>
      <c r="W56" s="119"/>
      <c r="X56" s="119"/>
      <c r="Y56" s="119"/>
      <c r="Z56" s="119"/>
      <c r="AA56" s="119"/>
      <c r="AB56" s="119"/>
      <c r="AC56" s="119"/>
      <c r="AD56" s="119"/>
      <c r="AE56" s="119"/>
      <c r="AF56" s="119"/>
      <c r="AG56" s="119"/>
      <c r="AH56" s="119"/>
      <c r="AI56" s="119">
        <v>600</v>
      </c>
    </row>
    <row r="57" spans="2:35" ht="13">
      <c r="B57" s="265" t="s">
        <v>811</v>
      </c>
      <c r="C57" s="99"/>
      <c r="AI57" s="385"/>
    </row>
    <row r="58" spans="2:35" ht="12.5">
      <c r="B58" s="15" t="s">
        <v>812</v>
      </c>
      <c r="C58" s="144"/>
      <c r="D58" s="118">
        <v>165</v>
      </c>
      <c r="E58" s="244" t="s">
        <v>636</v>
      </c>
      <c r="F58" s="140" t="s">
        <v>813</v>
      </c>
      <c r="G58" s="145"/>
      <c r="H58" s="128"/>
      <c r="J58" s="119">
        <f>$N58-$L58</f>
        <v>0</v>
      </c>
      <c r="K58" s="214">
        <f>IF(L58=0,"No min",$J58/$L58)</f>
        <v>0</v>
      </c>
      <c r="L58" s="119">
        <f t="shared" ref="L58" si="44">MIN(R58:AI58)</f>
        <v>165</v>
      </c>
      <c r="M58" s="119">
        <f t="shared" ref="M58" si="45">IFERROR(AVERAGE(R58:AI58),"One rate")</f>
        <v>165</v>
      </c>
      <c r="N58" s="119">
        <f t="shared" ref="N58" si="46">MAX(R58:AI58)</f>
        <v>165</v>
      </c>
      <c r="O58" s="120" t="s">
        <v>756</v>
      </c>
      <c r="P58" s="119">
        <f>_xlfn.XLOOKUP(Rates!$O58,$J$6:$AI$6,J58:AI58)</f>
        <v>165</v>
      </c>
      <c r="Q58" s="120"/>
      <c r="R58" s="119"/>
      <c r="S58" s="119"/>
      <c r="T58" s="119"/>
      <c r="U58" s="119"/>
      <c r="V58" s="119"/>
      <c r="W58" s="119"/>
      <c r="X58" s="119"/>
      <c r="Y58" s="119"/>
      <c r="Z58" s="119"/>
      <c r="AA58" s="119"/>
      <c r="AB58" s="119"/>
      <c r="AC58" s="119"/>
      <c r="AD58" s="119"/>
      <c r="AE58" s="119"/>
      <c r="AF58" s="119"/>
      <c r="AG58" s="119"/>
      <c r="AH58" s="119"/>
      <c r="AI58" s="119">
        <v>165</v>
      </c>
    </row>
    <row r="59" spans="2:35" ht="13">
      <c r="B59" s="265" t="s">
        <v>814</v>
      </c>
      <c r="C59" s="99"/>
      <c r="AI59" s="385"/>
    </row>
    <row r="60" spans="2:35" ht="12.5">
      <c r="B60" s="15" t="s">
        <v>815</v>
      </c>
      <c r="C60" s="144"/>
      <c r="D60" s="118">
        <v>350</v>
      </c>
      <c r="E60" s="244" t="s">
        <v>816</v>
      </c>
      <c r="F60" s="140" t="s">
        <v>809</v>
      </c>
      <c r="G60" s="145"/>
      <c r="H60" s="128"/>
      <c r="J60" s="119">
        <f>$N60-$L60</f>
        <v>310</v>
      </c>
      <c r="K60" s="214">
        <f>IF(L60=0,"No min",$J60/$L60)</f>
        <v>0.88571428571428568</v>
      </c>
      <c r="L60" s="119">
        <f t="shared" ref="L60:L63" si="47">MIN(R60:AI60)</f>
        <v>350</v>
      </c>
      <c r="M60" s="119">
        <f t="shared" ref="M60:M63" si="48">IFERROR(AVERAGE(R60:AI60),"One rate")</f>
        <v>505</v>
      </c>
      <c r="N60" s="119">
        <f t="shared" ref="N60:N63" si="49">MAX(R60:AI60)</f>
        <v>660</v>
      </c>
      <c r="O60" s="120" t="s">
        <v>756</v>
      </c>
      <c r="P60" s="119">
        <f>_xlfn.XLOOKUP(Rates!$O60,$J$6:$AI$6,J60:AI60)</f>
        <v>350</v>
      </c>
      <c r="Q60" s="120"/>
      <c r="R60" s="119">
        <v>660</v>
      </c>
      <c r="S60" s="119"/>
      <c r="T60" s="119"/>
      <c r="U60" s="119"/>
      <c r="V60" s="119"/>
      <c r="W60" s="119"/>
      <c r="X60" s="119"/>
      <c r="Y60" s="119"/>
      <c r="Z60" s="119"/>
      <c r="AA60" s="119"/>
      <c r="AB60" s="119"/>
      <c r="AC60" s="119"/>
      <c r="AD60" s="119"/>
      <c r="AE60" s="119"/>
      <c r="AF60" s="119"/>
      <c r="AG60" s="119"/>
      <c r="AH60" s="119"/>
      <c r="AI60" s="119">
        <v>350</v>
      </c>
    </row>
    <row r="61" spans="2:35" ht="12.5">
      <c r="B61" s="15" t="s">
        <v>817</v>
      </c>
      <c r="C61" s="144"/>
      <c r="D61" s="118">
        <v>150</v>
      </c>
      <c r="E61" s="244" t="s">
        <v>816</v>
      </c>
      <c r="F61" s="140" t="s">
        <v>809</v>
      </c>
      <c r="G61" s="145"/>
      <c r="H61" s="128"/>
      <c r="J61" s="119">
        <f>$N61-$L61</f>
        <v>0</v>
      </c>
      <c r="K61" s="214">
        <f>IF(L61=0,"No min",$J61/$L61)</f>
        <v>0</v>
      </c>
      <c r="L61" s="119">
        <f t="shared" si="47"/>
        <v>150</v>
      </c>
      <c r="M61" s="119">
        <f t="shared" si="48"/>
        <v>150</v>
      </c>
      <c r="N61" s="119">
        <f t="shared" si="49"/>
        <v>150</v>
      </c>
      <c r="O61" s="120" t="s">
        <v>756</v>
      </c>
      <c r="P61" s="119">
        <f>_xlfn.XLOOKUP(Rates!$O61,$J$6:$AI$6,J61:AI61)</f>
        <v>150</v>
      </c>
      <c r="Q61" s="120"/>
      <c r="R61" s="119"/>
      <c r="S61" s="119"/>
      <c r="T61" s="119"/>
      <c r="U61" s="119"/>
      <c r="V61" s="119"/>
      <c r="W61" s="119"/>
      <c r="X61" s="119"/>
      <c r="Y61" s="119"/>
      <c r="Z61" s="119"/>
      <c r="AA61" s="119"/>
      <c r="AB61" s="119"/>
      <c r="AC61" s="119"/>
      <c r="AD61" s="119"/>
      <c r="AE61" s="119"/>
      <c r="AF61" s="119"/>
      <c r="AG61" s="119"/>
      <c r="AH61" s="119"/>
      <c r="AI61" s="119">
        <v>150</v>
      </c>
    </row>
    <row r="62" spans="2:35" ht="12.5">
      <c r="B62" s="15" t="s">
        <v>818</v>
      </c>
      <c r="C62" s="144"/>
      <c r="D62" s="118">
        <v>4</v>
      </c>
      <c r="E62" s="244" t="s">
        <v>391</v>
      </c>
      <c r="F62" s="140" t="s">
        <v>809</v>
      </c>
      <c r="G62" s="145"/>
      <c r="H62" s="128"/>
      <c r="J62" s="119">
        <f>$N62-$L62</f>
        <v>1</v>
      </c>
      <c r="K62" s="214">
        <f>IF(L62=0,"No min",$J62/$L62)</f>
        <v>0.25</v>
      </c>
      <c r="L62" s="119">
        <f t="shared" si="47"/>
        <v>4</v>
      </c>
      <c r="M62" s="119">
        <f t="shared" si="48"/>
        <v>4.5</v>
      </c>
      <c r="N62" s="119">
        <f t="shared" si="49"/>
        <v>5</v>
      </c>
      <c r="O62" s="120" t="s">
        <v>739</v>
      </c>
      <c r="P62" s="119">
        <f>_xlfn.XLOOKUP(Rates!$O62,$J$6:$AI$6,J62:AI62)</f>
        <v>4</v>
      </c>
      <c r="Q62" s="120"/>
      <c r="R62" s="119">
        <v>4</v>
      </c>
      <c r="S62" s="119"/>
      <c r="T62" s="119"/>
      <c r="U62" s="119"/>
      <c r="V62" s="119"/>
      <c r="W62" s="119"/>
      <c r="X62" s="119"/>
      <c r="Y62" s="119"/>
      <c r="Z62" s="119"/>
      <c r="AA62" s="119"/>
      <c r="AB62" s="119"/>
      <c r="AC62" s="119"/>
      <c r="AD62" s="119"/>
      <c r="AE62" s="119"/>
      <c r="AF62" s="119"/>
      <c r="AG62" s="119"/>
      <c r="AH62" s="119"/>
      <c r="AI62" s="119">
        <v>5</v>
      </c>
    </row>
    <row r="63" spans="2:35" ht="12.5">
      <c r="B63" s="15" t="s">
        <v>819</v>
      </c>
      <c r="C63" s="144"/>
      <c r="D63" s="118">
        <v>40</v>
      </c>
      <c r="E63" s="244" t="s">
        <v>391</v>
      </c>
      <c r="F63" s="140" t="s">
        <v>809</v>
      </c>
      <c r="G63" s="145"/>
      <c r="H63" s="128"/>
      <c r="J63" s="119">
        <f>$N63-$L63</f>
        <v>25</v>
      </c>
      <c r="K63" s="214">
        <f>IF(L63=0,"No min",$J63/$L63)</f>
        <v>1.6666666666666667</v>
      </c>
      <c r="L63" s="119">
        <f t="shared" si="47"/>
        <v>15</v>
      </c>
      <c r="M63" s="119">
        <f t="shared" si="48"/>
        <v>27.5</v>
      </c>
      <c r="N63" s="119">
        <f t="shared" si="49"/>
        <v>40</v>
      </c>
      <c r="O63" s="120" t="s">
        <v>739</v>
      </c>
      <c r="P63" s="119">
        <f>_xlfn.XLOOKUP(Rates!$O63,$J$6:$AI$6,J63:AI63)</f>
        <v>40</v>
      </c>
      <c r="Q63" s="120"/>
      <c r="R63" s="119">
        <v>40</v>
      </c>
      <c r="S63" s="119"/>
      <c r="T63" s="119"/>
      <c r="U63" s="119"/>
      <c r="V63" s="119"/>
      <c r="W63" s="119"/>
      <c r="X63" s="119"/>
      <c r="Y63" s="119"/>
      <c r="Z63" s="119"/>
      <c r="AA63" s="119"/>
      <c r="AB63" s="119"/>
      <c r="AC63" s="119"/>
      <c r="AD63" s="119"/>
      <c r="AE63" s="119"/>
      <c r="AF63" s="119"/>
      <c r="AG63" s="119"/>
      <c r="AH63" s="119"/>
      <c r="AI63" s="119">
        <v>15</v>
      </c>
    </row>
    <row r="64" spans="2:35" ht="13">
      <c r="B64" s="265" t="s">
        <v>820</v>
      </c>
      <c r="C64" s="99"/>
      <c r="AI64" s="385"/>
    </row>
    <row r="65" spans="2:35" ht="12.5">
      <c r="B65" s="15" t="s">
        <v>319</v>
      </c>
      <c r="C65" s="144"/>
      <c r="D65" s="118">
        <v>115.5</v>
      </c>
      <c r="E65" s="244" t="s">
        <v>636</v>
      </c>
      <c r="F65" s="140" t="s">
        <v>813</v>
      </c>
      <c r="G65" s="145"/>
      <c r="H65" s="128"/>
      <c r="J65" s="119">
        <f>$N65-$L65</f>
        <v>0</v>
      </c>
      <c r="K65" s="214">
        <f>IF(L65=0,"No min",$J65/$L65)</f>
        <v>0</v>
      </c>
      <c r="L65" s="119">
        <f t="shared" ref="L65:L66" si="50">MIN(R65:AI65)</f>
        <v>115.5</v>
      </c>
      <c r="M65" s="119">
        <f t="shared" ref="M65:M66" si="51">IFERROR(AVERAGE(R65:AI65),"One rate")</f>
        <v>115.5</v>
      </c>
      <c r="N65" s="119">
        <f t="shared" ref="N65:N66" si="52">MAX(R65:AI65)</f>
        <v>115.5</v>
      </c>
      <c r="O65" s="120" t="s">
        <v>750</v>
      </c>
      <c r="P65" s="119">
        <f>_xlfn.XLOOKUP(Rates!$O65,$J$6:$AI$6,J65:AI65)</f>
        <v>115.5</v>
      </c>
      <c r="Q65" s="120"/>
      <c r="R65" s="119"/>
      <c r="S65" s="119"/>
      <c r="T65" s="119"/>
      <c r="U65" s="119"/>
      <c r="V65" s="119"/>
      <c r="W65" s="119"/>
      <c r="X65" s="119"/>
      <c r="Y65" s="119"/>
      <c r="Z65" s="119"/>
      <c r="AA65" s="119"/>
      <c r="AB65" s="119"/>
      <c r="AC65" s="119">
        <v>115.5</v>
      </c>
      <c r="AD65" s="119"/>
      <c r="AE65" s="119"/>
      <c r="AF65" s="119"/>
      <c r="AG65" s="119"/>
      <c r="AH65" s="119"/>
      <c r="AI65" s="119"/>
    </row>
    <row r="66" spans="2:35" ht="12.5">
      <c r="B66" s="15" t="s">
        <v>558</v>
      </c>
      <c r="C66" s="144"/>
      <c r="D66" s="118">
        <v>123</v>
      </c>
      <c r="E66" s="244" t="s">
        <v>636</v>
      </c>
      <c r="F66" s="140" t="s">
        <v>813</v>
      </c>
      <c r="G66" s="145"/>
      <c r="H66" s="128"/>
      <c r="J66" s="119">
        <f>$N66-$L66</f>
        <v>0</v>
      </c>
      <c r="K66" s="214">
        <f>IF(L66=0,"No min",$J66/$L66)</f>
        <v>0</v>
      </c>
      <c r="L66" s="119">
        <f t="shared" si="50"/>
        <v>123</v>
      </c>
      <c r="M66" s="119">
        <f t="shared" si="51"/>
        <v>123</v>
      </c>
      <c r="N66" s="119">
        <f t="shared" si="52"/>
        <v>123</v>
      </c>
      <c r="O66" s="120" t="s">
        <v>750</v>
      </c>
      <c r="P66" s="119">
        <f>_xlfn.XLOOKUP(Rates!$O66,$J$6:$AI$6,J66:AI66)</f>
        <v>123</v>
      </c>
      <c r="Q66" s="120"/>
      <c r="R66" s="119"/>
      <c r="S66" s="119"/>
      <c r="T66" s="119"/>
      <c r="U66" s="119"/>
      <c r="V66" s="119"/>
      <c r="W66" s="119"/>
      <c r="X66" s="119"/>
      <c r="Y66" s="119"/>
      <c r="Z66" s="119"/>
      <c r="AA66" s="119"/>
      <c r="AB66" s="119"/>
      <c r="AC66" s="119">
        <v>123</v>
      </c>
      <c r="AD66" s="119"/>
      <c r="AE66" s="119"/>
      <c r="AF66" s="119"/>
      <c r="AG66" s="119"/>
      <c r="AH66" s="119"/>
      <c r="AI66" s="119"/>
    </row>
    <row r="67" spans="2:35" ht="13">
      <c r="B67" s="265" t="s">
        <v>821</v>
      </c>
      <c r="C67" s="99"/>
      <c r="AI67" s="385"/>
    </row>
    <row r="68" spans="2:35" ht="12.5">
      <c r="B68" s="15" t="s">
        <v>822</v>
      </c>
      <c r="C68" s="144"/>
      <c r="D68" s="118">
        <v>1</v>
      </c>
      <c r="E68" s="244" t="s">
        <v>823</v>
      </c>
      <c r="F68" s="124" t="s">
        <v>824</v>
      </c>
      <c r="G68" s="145"/>
      <c r="H68" s="128"/>
      <c r="J68" s="119">
        <f>$N68-$L68</f>
        <v>0</v>
      </c>
      <c r="K68" s="214">
        <f>IF(L68=0,"No min",$J68/$L68)</f>
        <v>0</v>
      </c>
      <c r="L68" s="119">
        <f t="shared" ref="L68" si="53">MIN(R68:AI68)</f>
        <v>1</v>
      </c>
      <c r="M68" s="119">
        <f t="shared" ref="M68" si="54">IFERROR(AVERAGE(R68:AI68),"One rate")</f>
        <v>1</v>
      </c>
      <c r="N68" s="119">
        <f t="shared" ref="N68" si="55">MAX(R68:AI68)</f>
        <v>1</v>
      </c>
      <c r="O68" s="120" t="s">
        <v>756</v>
      </c>
      <c r="P68" s="119">
        <f>_xlfn.XLOOKUP(Rates!$O68,$J$6:$AI$6,J68:AI68)</f>
        <v>1</v>
      </c>
      <c r="Q68" s="120"/>
      <c r="R68" s="119"/>
      <c r="S68" s="119"/>
      <c r="T68" s="119"/>
      <c r="U68" s="119"/>
      <c r="V68" s="119"/>
      <c r="W68" s="119"/>
      <c r="X68" s="119"/>
      <c r="Y68" s="119"/>
      <c r="Z68" s="119"/>
      <c r="AA68" s="119"/>
      <c r="AB68" s="119"/>
      <c r="AC68" s="119"/>
      <c r="AD68" s="119"/>
      <c r="AE68" s="119"/>
      <c r="AF68" s="119"/>
      <c r="AG68" s="119"/>
      <c r="AH68" s="119"/>
      <c r="AI68" s="119">
        <v>1</v>
      </c>
    </row>
    <row r="69" spans="2:35" ht="13">
      <c r="B69" s="265" t="s">
        <v>825</v>
      </c>
      <c r="C69" s="99"/>
      <c r="AI69" s="385"/>
    </row>
    <row r="70" spans="2:35" ht="12.5">
      <c r="B70" s="15" t="s">
        <v>826</v>
      </c>
      <c r="C70" s="144"/>
      <c r="D70" s="118">
        <v>309</v>
      </c>
      <c r="E70" s="244" t="s">
        <v>759</v>
      </c>
      <c r="F70" s="124" t="s">
        <v>827</v>
      </c>
      <c r="G70" s="145"/>
      <c r="H70" s="128"/>
      <c r="J70" s="119">
        <f t="shared" si="6"/>
        <v>0</v>
      </c>
      <c r="K70" s="214">
        <f t="shared" si="7"/>
        <v>0</v>
      </c>
      <c r="L70" s="119">
        <f t="shared" ref="L70:L71" si="56">MIN(R70:AI70)</f>
        <v>309</v>
      </c>
      <c r="M70" s="119">
        <f t="shared" ref="M70:M71" si="57">IFERROR(AVERAGE(R70:AI70),"One rate")</f>
        <v>309</v>
      </c>
      <c r="N70" s="119">
        <f t="shared" ref="N70:N71" si="58">MAX(R70:AI70)</f>
        <v>309</v>
      </c>
      <c r="O70" s="120" t="s">
        <v>756</v>
      </c>
      <c r="P70" s="119">
        <f>_xlfn.XLOOKUP(Rates!$O70,$J$6:$AI$6,J70:AI70)</f>
        <v>309</v>
      </c>
      <c r="Q70" s="120"/>
      <c r="R70" s="120"/>
      <c r="S70" s="122"/>
      <c r="T70" s="122">
        <v>309</v>
      </c>
      <c r="U70" s="120"/>
      <c r="V70" s="120"/>
      <c r="W70" s="120"/>
      <c r="X70" s="120"/>
      <c r="Y70" s="120"/>
      <c r="Z70" s="120"/>
      <c r="AA70" s="120"/>
      <c r="AB70" s="120"/>
      <c r="AC70" s="120"/>
      <c r="AD70" s="120"/>
      <c r="AE70" s="120"/>
      <c r="AF70" s="120"/>
      <c r="AG70" s="120"/>
      <c r="AH70" s="120"/>
      <c r="AI70" s="119">
        <v>309</v>
      </c>
    </row>
    <row r="71" spans="2:35" ht="12.5">
      <c r="B71" s="15" t="s">
        <v>828</v>
      </c>
      <c r="C71" s="144"/>
      <c r="D71" s="118">
        <v>327</v>
      </c>
      <c r="E71" s="244" t="s">
        <v>759</v>
      </c>
      <c r="F71" s="124" t="s">
        <v>827</v>
      </c>
      <c r="G71" s="145"/>
      <c r="H71" s="128"/>
      <c r="J71" s="119">
        <f t="shared" si="6"/>
        <v>34.5</v>
      </c>
      <c r="K71" s="214">
        <f t="shared" si="7"/>
        <v>0.11794871794871795</v>
      </c>
      <c r="L71" s="119">
        <f t="shared" si="56"/>
        <v>292.5</v>
      </c>
      <c r="M71" s="119">
        <f t="shared" si="57"/>
        <v>306.29155597547657</v>
      </c>
      <c r="N71" s="119">
        <f t="shared" si="58"/>
        <v>327</v>
      </c>
      <c r="O71" s="120" t="s">
        <v>741</v>
      </c>
      <c r="P71" s="119">
        <f>_xlfn.XLOOKUP(Rates!$O71,$J$6:$AI$6,J71:AI71)</f>
        <v>327</v>
      </c>
      <c r="Q71" s="120"/>
      <c r="R71" s="120"/>
      <c r="S71" s="122">
        <v>299.37466792642982</v>
      </c>
      <c r="T71" s="122">
        <v>327</v>
      </c>
      <c r="U71" s="120"/>
      <c r="V71" s="120"/>
      <c r="W71" s="120"/>
      <c r="X71" s="120"/>
      <c r="Y71" s="120"/>
      <c r="Z71" s="120"/>
      <c r="AA71" s="120"/>
      <c r="AB71" s="120"/>
      <c r="AC71" s="120"/>
      <c r="AD71" s="120"/>
      <c r="AE71" s="120"/>
      <c r="AF71" s="120"/>
      <c r="AG71" s="120"/>
      <c r="AH71" s="120"/>
      <c r="AI71" s="119">
        <v>292.5</v>
      </c>
    </row>
    <row r="72" spans="2:35" ht="13">
      <c r="B72" s="265" t="s">
        <v>98</v>
      </c>
      <c r="C72" s="99"/>
      <c r="AI72" s="385"/>
    </row>
    <row r="73" spans="2:35" ht="12.5">
      <c r="B73" s="15" t="s">
        <v>829</v>
      </c>
      <c r="C73" s="144"/>
      <c r="D73" s="118">
        <v>2.5</v>
      </c>
      <c r="E73" s="244" t="s">
        <v>816</v>
      </c>
      <c r="F73" s="141" t="s">
        <v>830</v>
      </c>
      <c r="G73" s="145"/>
      <c r="H73" s="128"/>
      <c r="J73" s="119">
        <f t="shared" si="6"/>
        <v>0</v>
      </c>
      <c r="K73" s="214">
        <f t="shared" si="7"/>
        <v>0</v>
      </c>
      <c r="L73" s="119">
        <f t="shared" ref="L73:L74" si="59">MIN(R73:AI73)</f>
        <v>2.5</v>
      </c>
      <c r="M73" s="119">
        <f t="shared" ref="M73:M74" si="60">IFERROR(AVERAGE(R73:AI73),"One rate")</f>
        <v>2.5</v>
      </c>
      <c r="N73" s="119">
        <f t="shared" ref="N73:N74" si="61">MAX(R73:AI73)</f>
        <v>2.5</v>
      </c>
      <c r="O73" s="120" t="s">
        <v>746</v>
      </c>
      <c r="P73" s="119">
        <f>_xlfn.XLOOKUP(Rates!$O73,$J$6:$AI$6,J73:AI73)</f>
        <v>2.5</v>
      </c>
      <c r="Q73" s="120"/>
      <c r="R73" s="120"/>
      <c r="S73" s="120"/>
      <c r="T73" s="120"/>
      <c r="U73" s="122"/>
      <c r="V73" s="120"/>
      <c r="W73" s="120"/>
      <c r="X73" s="120"/>
      <c r="Y73" s="122">
        <v>2.5</v>
      </c>
      <c r="Z73" s="120"/>
      <c r="AA73" s="120"/>
      <c r="AB73" s="120"/>
      <c r="AC73" s="120"/>
      <c r="AD73" s="120"/>
      <c r="AE73" s="120"/>
      <c r="AF73" s="120"/>
      <c r="AG73" s="120"/>
      <c r="AH73" s="120"/>
      <c r="AI73" s="119"/>
    </row>
    <row r="74" spans="2:35" ht="12.5">
      <c r="B74" s="15" t="s">
        <v>831</v>
      </c>
      <c r="C74" s="144"/>
      <c r="D74" s="118">
        <v>5</v>
      </c>
      <c r="E74" s="244" t="s">
        <v>816</v>
      </c>
      <c r="F74" s="141" t="s">
        <v>830</v>
      </c>
      <c r="G74" s="145"/>
      <c r="H74" s="128"/>
      <c r="J74" s="119">
        <f t="shared" si="6"/>
        <v>0</v>
      </c>
      <c r="K74" s="214">
        <f t="shared" si="7"/>
        <v>0</v>
      </c>
      <c r="L74" s="119">
        <f t="shared" si="59"/>
        <v>5</v>
      </c>
      <c r="M74" s="119">
        <f t="shared" si="60"/>
        <v>5</v>
      </c>
      <c r="N74" s="119">
        <f t="shared" si="61"/>
        <v>5</v>
      </c>
      <c r="O74" s="120" t="s">
        <v>746</v>
      </c>
      <c r="P74" s="119">
        <f>_xlfn.XLOOKUP(Rates!$O74,$J$6:$AI$6,J74:AI74)</f>
        <v>5</v>
      </c>
      <c r="Q74" s="120"/>
      <c r="R74" s="120"/>
      <c r="S74" s="120"/>
      <c r="T74" s="120"/>
      <c r="U74" s="122"/>
      <c r="V74" s="120"/>
      <c r="W74" s="120"/>
      <c r="X74" s="120"/>
      <c r="Y74" s="122">
        <v>5</v>
      </c>
      <c r="Z74" s="120"/>
      <c r="AA74" s="120"/>
      <c r="AB74" s="120"/>
      <c r="AC74" s="120"/>
      <c r="AD74" s="120"/>
      <c r="AE74" s="120"/>
      <c r="AF74" s="120"/>
      <c r="AG74" s="120"/>
      <c r="AH74" s="120"/>
      <c r="AI74" s="119"/>
    </row>
    <row r="75" spans="2:35" ht="12.5">
      <c r="B75" s="15" t="s">
        <v>832</v>
      </c>
      <c r="C75" s="144"/>
      <c r="D75" s="118">
        <v>0</v>
      </c>
      <c r="E75" s="244" t="s">
        <v>816</v>
      </c>
      <c r="F75" s="15"/>
      <c r="G75" s="145"/>
      <c r="H75" s="128"/>
      <c r="J75" s="119">
        <f t="shared" si="6"/>
        <v>0</v>
      </c>
      <c r="K75" s="214" t="str">
        <f t="shared" si="7"/>
        <v>No min</v>
      </c>
      <c r="L75" s="119">
        <f t="shared" ref="L75" si="62">MIN(R75:AH75)</f>
        <v>0</v>
      </c>
      <c r="M75" s="126" t="str">
        <f t="shared" ref="M75" si="63">IFERROR(AVERAGE(R75:AH75),"One / no rate")</f>
        <v>One / no rate</v>
      </c>
      <c r="N75" s="119">
        <f t="shared" ref="N75" si="64">MAX(R75:AH75)</f>
        <v>0</v>
      </c>
      <c r="O75" s="120" t="s">
        <v>756</v>
      </c>
      <c r="P75" s="119">
        <f>_xlfn.XLOOKUP(Rates!$O75,$J$6:$AI$6,J75:AI75)</f>
        <v>0</v>
      </c>
      <c r="Q75" s="120"/>
      <c r="R75" s="120"/>
      <c r="S75" s="120"/>
      <c r="T75" s="120"/>
      <c r="U75" s="122"/>
      <c r="V75" s="120"/>
      <c r="W75" s="120"/>
      <c r="X75" s="120"/>
      <c r="Y75" s="122"/>
      <c r="Z75" s="120"/>
      <c r="AA75" s="120"/>
      <c r="AB75" s="120"/>
      <c r="AC75" s="120"/>
      <c r="AD75" s="120"/>
      <c r="AE75" s="120"/>
      <c r="AF75" s="120"/>
      <c r="AG75" s="120"/>
      <c r="AH75" s="120"/>
      <c r="AI75" s="119">
        <v>0</v>
      </c>
    </row>
    <row r="76" spans="2:35" ht="12.5">
      <c r="B76" s="15" t="s">
        <v>833</v>
      </c>
      <c r="C76" s="144"/>
      <c r="D76" s="118">
        <v>1200</v>
      </c>
      <c r="E76" s="244" t="s">
        <v>816</v>
      </c>
      <c r="F76" s="15"/>
      <c r="G76" s="145"/>
      <c r="H76" s="128"/>
      <c r="J76" s="119">
        <f t="shared" si="6"/>
        <v>0</v>
      </c>
      <c r="K76" s="214">
        <f t="shared" si="7"/>
        <v>0</v>
      </c>
      <c r="L76" s="119">
        <f t="shared" ref="L76:L79" si="65">MIN(R76:AI76)</f>
        <v>1200</v>
      </c>
      <c r="M76" s="119">
        <f t="shared" ref="M76:M79" si="66">IFERROR(AVERAGE(R76:AI76),"One rate")</f>
        <v>1200</v>
      </c>
      <c r="N76" s="119">
        <f t="shared" ref="N76:N79" si="67">MAX(R76:AI76)</f>
        <v>1200</v>
      </c>
      <c r="O76" s="120" t="s">
        <v>746</v>
      </c>
      <c r="P76" s="119">
        <f>_xlfn.XLOOKUP(Rates!$O76,$J$6:$AI$6,J76:AI76)</f>
        <v>1200</v>
      </c>
      <c r="Q76" s="120"/>
      <c r="R76" s="120"/>
      <c r="S76" s="120"/>
      <c r="T76" s="120"/>
      <c r="U76" s="122"/>
      <c r="V76" s="120"/>
      <c r="W76" s="120"/>
      <c r="X76" s="120"/>
      <c r="Y76" s="122">
        <v>1200</v>
      </c>
      <c r="Z76" s="120"/>
      <c r="AA76" s="120"/>
      <c r="AB76" s="120"/>
      <c r="AC76" s="120"/>
      <c r="AD76" s="120"/>
      <c r="AE76" s="120"/>
      <c r="AF76" s="120"/>
      <c r="AG76" s="120"/>
      <c r="AH76" s="120"/>
      <c r="AI76" s="119"/>
    </row>
    <row r="77" spans="2:35" ht="12.5">
      <c r="B77" s="15" t="s">
        <v>834</v>
      </c>
      <c r="C77" s="144"/>
      <c r="D77" s="118">
        <v>2</v>
      </c>
      <c r="E77" s="244" t="s">
        <v>816</v>
      </c>
      <c r="F77" s="141" t="s">
        <v>835</v>
      </c>
      <c r="G77" s="145"/>
      <c r="H77" s="128"/>
      <c r="J77" s="119">
        <f t="shared" si="6"/>
        <v>0</v>
      </c>
      <c r="K77" s="214">
        <f t="shared" ref="K77:K95" si="68">IF(L77=0,"No min",$J77/$L77)</f>
        <v>0</v>
      </c>
      <c r="L77" s="119">
        <f t="shared" si="65"/>
        <v>2</v>
      </c>
      <c r="M77" s="119">
        <f t="shared" si="66"/>
        <v>2</v>
      </c>
      <c r="N77" s="119">
        <f t="shared" si="67"/>
        <v>2</v>
      </c>
      <c r="O77" s="120" t="s">
        <v>746</v>
      </c>
      <c r="P77" s="119">
        <f>_xlfn.XLOOKUP(Rates!$O77,$J$6:$AI$6,J77:AI77)</f>
        <v>2</v>
      </c>
      <c r="Q77" s="120"/>
      <c r="R77" s="120"/>
      <c r="S77" s="120"/>
      <c r="T77" s="120"/>
      <c r="U77" s="122"/>
      <c r="V77" s="120"/>
      <c r="W77" s="120"/>
      <c r="X77" s="120"/>
      <c r="Y77" s="122">
        <v>2</v>
      </c>
      <c r="Z77" s="120"/>
      <c r="AA77" s="120"/>
      <c r="AB77" s="120"/>
      <c r="AC77" s="120"/>
      <c r="AD77" s="120"/>
      <c r="AE77" s="120"/>
      <c r="AF77" s="120"/>
      <c r="AG77" s="120"/>
      <c r="AH77" s="120"/>
      <c r="AI77" s="119"/>
    </row>
    <row r="78" spans="2:35" ht="12.5">
      <c r="B78" s="15" t="s">
        <v>836</v>
      </c>
      <c r="C78" s="144"/>
      <c r="D78" s="118">
        <v>0.2</v>
      </c>
      <c r="E78" s="244" t="s">
        <v>816</v>
      </c>
      <c r="F78" s="141" t="s">
        <v>835</v>
      </c>
      <c r="G78" s="145"/>
      <c r="H78" s="128"/>
      <c r="J78" s="119">
        <f t="shared" si="6"/>
        <v>0</v>
      </c>
      <c r="K78" s="214">
        <f t="shared" si="68"/>
        <v>0</v>
      </c>
      <c r="L78" s="119">
        <f t="shared" si="65"/>
        <v>0.2</v>
      </c>
      <c r="M78" s="119">
        <f t="shared" si="66"/>
        <v>0.2</v>
      </c>
      <c r="N78" s="119">
        <f t="shared" si="67"/>
        <v>0.2</v>
      </c>
      <c r="O78" s="120" t="s">
        <v>746</v>
      </c>
      <c r="P78" s="119">
        <f>_xlfn.XLOOKUP(Rates!$O78,$J$6:$AI$6,J78:AI78)</f>
        <v>0.2</v>
      </c>
      <c r="Q78" s="120"/>
      <c r="R78" s="120"/>
      <c r="S78" s="120"/>
      <c r="T78" s="120"/>
      <c r="U78" s="122"/>
      <c r="V78" s="120"/>
      <c r="W78" s="120"/>
      <c r="X78" s="120"/>
      <c r="Y78" s="122">
        <v>0.2</v>
      </c>
      <c r="Z78" s="120"/>
      <c r="AA78" s="120"/>
      <c r="AB78" s="120"/>
      <c r="AC78" s="120"/>
      <c r="AD78" s="120"/>
      <c r="AE78" s="120"/>
      <c r="AF78" s="120"/>
      <c r="AG78" s="120"/>
      <c r="AH78" s="120"/>
      <c r="AI78" s="119"/>
    </row>
    <row r="79" spans="2:35" ht="12.5">
      <c r="B79" s="38" t="s">
        <v>837</v>
      </c>
      <c r="C79" s="144"/>
      <c r="D79" s="118">
        <v>500</v>
      </c>
      <c r="E79" s="244" t="s">
        <v>823</v>
      </c>
      <c r="F79" s="141" t="s">
        <v>838</v>
      </c>
      <c r="G79" s="145"/>
      <c r="H79" s="128"/>
      <c r="J79" s="119">
        <f t="shared" si="6"/>
        <v>0</v>
      </c>
      <c r="K79" s="214">
        <f t="shared" ref="K79" si="69">IF(L79=0,"No min",$J79/$L79)</f>
        <v>0</v>
      </c>
      <c r="L79" s="119">
        <f t="shared" si="65"/>
        <v>500</v>
      </c>
      <c r="M79" s="119">
        <f t="shared" si="66"/>
        <v>500</v>
      </c>
      <c r="N79" s="119">
        <f t="shared" si="67"/>
        <v>500</v>
      </c>
      <c r="O79" s="120" t="s">
        <v>756</v>
      </c>
      <c r="P79" s="119">
        <f>_xlfn.XLOOKUP(Rates!$O79,$J$6:$AI$6,J79:AI79)</f>
        <v>500</v>
      </c>
      <c r="Q79" s="120"/>
      <c r="R79" s="120"/>
      <c r="S79" s="120"/>
      <c r="T79" s="120"/>
      <c r="U79" s="122"/>
      <c r="V79" s="120"/>
      <c r="W79" s="120"/>
      <c r="X79" s="120"/>
      <c r="Y79" s="120"/>
      <c r="Z79" s="120"/>
      <c r="AA79" s="120"/>
      <c r="AB79" s="120"/>
      <c r="AC79" s="120"/>
      <c r="AD79" s="120"/>
      <c r="AE79" s="120"/>
      <c r="AF79" s="120"/>
      <c r="AG79" s="120"/>
      <c r="AH79" s="120"/>
      <c r="AI79" s="119">
        <v>500</v>
      </c>
    </row>
    <row r="80" spans="2:35" ht="13">
      <c r="B80" s="265" t="s">
        <v>839</v>
      </c>
      <c r="C80" s="99"/>
      <c r="AI80" s="385"/>
    </row>
    <row r="81" spans="2:35" ht="12.5">
      <c r="B81" s="38" t="s">
        <v>840</v>
      </c>
      <c r="C81" s="144"/>
      <c r="D81" s="118">
        <v>10.86</v>
      </c>
      <c r="E81" s="244" t="s">
        <v>841</v>
      </c>
      <c r="F81" s="124"/>
      <c r="G81" s="145"/>
      <c r="H81" s="128"/>
      <c r="J81" s="119">
        <f t="shared" si="6"/>
        <v>0</v>
      </c>
      <c r="K81" s="214">
        <f t="shared" si="68"/>
        <v>0</v>
      </c>
      <c r="L81" s="119">
        <f t="shared" ref="L81:L82" si="70">MIN(R81:AI81)</f>
        <v>10.86</v>
      </c>
      <c r="M81" s="119">
        <f t="shared" ref="M81:M82" si="71">IFERROR(AVERAGE(R81:AI81),"One rate")</f>
        <v>10.86</v>
      </c>
      <c r="N81" s="119">
        <f t="shared" ref="N81:N82" si="72">MAX(R81:AI81)</f>
        <v>10.86</v>
      </c>
      <c r="O81" s="120" t="s">
        <v>756</v>
      </c>
      <c r="P81" s="119">
        <f>_xlfn.XLOOKUP(Rates!$O81,$J$6:$AI$6,J81:AI81)</f>
        <v>10.86</v>
      </c>
      <c r="Q81" s="120"/>
      <c r="R81" s="122"/>
      <c r="S81" s="120"/>
      <c r="T81" s="120"/>
      <c r="U81" s="120"/>
      <c r="V81" s="120"/>
      <c r="W81" s="120"/>
      <c r="X81" s="120"/>
      <c r="Y81" s="120"/>
      <c r="Z81" s="120"/>
      <c r="AA81" s="120"/>
      <c r="AB81" s="120"/>
      <c r="AC81" s="120"/>
      <c r="AD81" s="120"/>
      <c r="AE81" s="120"/>
      <c r="AF81" s="120"/>
      <c r="AG81" s="120"/>
      <c r="AH81" s="120"/>
      <c r="AI81" s="119">
        <v>10.86</v>
      </c>
    </row>
    <row r="82" spans="2:35" ht="12.5">
      <c r="B82" s="38" t="s">
        <v>842</v>
      </c>
      <c r="C82" s="144"/>
      <c r="D82" s="118">
        <v>1000</v>
      </c>
      <c r="E82" s="244" t="s">
        <v>841</v>
      </c>
      <c r="F82" s="124" t="s">
        <v>640</v>
      </c>
      <c r="G82" s="145"/>
      <c r="H82" s="128"/>
      <c r="J82" s="119">
        <f t="shared" si="6"/>
        <v>0</v>
      </c>
      <c r="K82" s="214">
        <f t="shared" ref="K82" si="73">IF(L82=0,"No min",$J82/$L82)</f>
        <v>0</v>
      </c>
      <c r="L82" s="119">
        <f t="shared" si="70"/>
        <v>1000</v>
      </c>
      <c r="M82" s="119">
        <f t="shared" si="71"/>
        <v>1000</v>
      </c>
      <c r="N82" s="119">
        <f t="shared" si="72"/>
        <v>1000</v>
      </c>
      <c r="O82" s="120" t="s">
        <v>756</v>
      </c>
      <c r="P82" s="119">
        <f>_xlfn.XLOOKUP(Rates!$O82,$J$6:$AI$6,J82:AI82)</f>
        <v>1000</v>
      </c>
      <c r="Q82" s="120"/>
      <c r="R82" s="122"/>
      <c r="S82" s="120"/>
      <c r="T82" s="120"/>
      <c r="U82" s="120"/>
      <c r="V82" s="120"/>
      <c r="W82" s="120"/>
      <c r="X82" s="120"/>
      <c r="Y82" s="120"/>
      <c r="Z82" s="120"/>
      <c r="AA82" s="120"/>
      <c r="AB82" s="120"/>
      <c r="AC82" s="120"/>
      <c r="AD82" s="120"/>
      <c r="AE82" s="120"/>
      <c r="AF82" s="120"/>
      <c r="AG82" s="120"/>
      <c r="AH82" s="120"/>
      <c r="AI82" s="119">
        <v>1000</v>
      </c>
    </row>
    <row r="83" spans="2:35" ht="13">
      <c r="B83" s="265" t="s">
        <v>843</v>
      </c>
      <c r="C83" s="99"/>
      <c r="AI83" s="385"/>
    </row>
    <row r="84" spans="2:35" ht="12.5">
      <c r="B84" s="38" t="s">
        <v>844</v>
      </c>
      <c r="C84" s="144"/>
      <c r="D84" s="118">
        <v>146.19999999999999</v>
      </c>
      <c r="E84" s="244" t="s">
        <v>759</v>
      </c>
      <c r="F84" s="124"/>
      <c r="G84" s="145"/>
      <c r="H84" s="128"/>
      <c r="J84" s="119">
        <f>$N84-$L84</f>
        <v>0</v>
      </c>
      <c r="K84" s="214">
        <f>IF(L84=0,"No min",$J84/$L84)</f>
        <v>0</v>
      </c>
      <c r="L84" s="119">
        <f t="shared" ref="L84" si="74">MIN(R84:AI84)</f>
        <v>146.19999999999999</v>
      </c>
      <c r="M84" s="119">
        <f t="shared" ref="M84" si="75">IFERROR(AVERAGE(R84:AI84),"One rate")</f>
        <v>146.19999999999999</v>
      </c>
      <c r="N84" s="119">
        <f t="shared" ref="N84" si="76">MAX(R84:AI84)</f>
        <v>146.19999999999999</v>
      </c>
      <c r="O84" s="120" t="s">
        <v>756</v>
      </c>
      <c r="P84" s="119">
        <f>_xlfn.XLOOKUP(Rates!$O84,$J$6:$AI$6,J84:AI84)</f>
        <v>146.19999999999999</v>
      </c>
      <c r="Q84" s="120"/>
      <c r="R84" s="119"/>
      <c r="S84" s="122"/>
      <c r="T84" s="120"/>
      <c r="U84" s="122"/>
      <c r="V84" s="120"/>
      <c r="W84" s="120"/>
      <c r="X84" s="120"/>
      <c r="Y84" s="120"/>
      <c r="Z84" s="120"/>
      <c r="AA84" s="120"/>
      <c r="AB84" s="120"/>
      <c r="AC84" s="120"/>
      <c r="AD84" s="120"/>
      <c r="AE84" s="120"/>
      <c r="AF84" s="120"/>
      <c r="AG84" s="120"/>
      <c r="AH84" s="120"/>
      <c r="AI84" s="119">
        <v>146.19999999999999</v>
      </c>
    </row>
    <row r="85" spans="2:35" ht="12.5">
      <c r="B85" s="15" t="s">
        <v>845</v>
      </c>
      <c r="C85" s="144"/>
      <c r="D85" s="118">
        <v>168.69</v>
      </c>
      <c r="E85" s="244" t="s">
        <v>759</v>
      </c>
      <c r="F85" s="124"/>
      <c r="G85" s="145"/>
      <c r="H85" s="128"/>
      <c r="J85" s="119">
        <f t="shared" si="6"/>
        <v>0</v>
      </c>
      <c r="K85" s="214">
        <f t="shared" si="68"/>
        <v>0</v>
      </c>
      <c r="L85" s="119">
        <f t="shared" ref="L85:L91" si="77">MIN(R85:AI85)</f>
        <v>168.69</v>
      </c>
      <c r="M85" s="119">
        <f t="shared" ref="M85:M91" si="78">IFERROR(AVERAGE(R85:AI85),"One rate")</f>
        <v>168.69</v>
      </c>
      <c r="N85" s="119">
        <f t="shared" ref="N85:N91" si="79">MAX(R85:AI85)</f>
        <v>168.69</v>
      </c>
      <c r="O85" s="120" t="s">
        <v>756</v>
      </c>
      <c r="P85" s="119">
        <f>_xlfn.XLOOKUP(Rates!$O85,$J$6:$AI$6,J85:AI85)</f>
        <v>168.69</v>
      </c>
      <c r="Q85" s="120"/>
      <c r="R85" s="119"/>
      <c r="S85" s="122"/>
      <c r="T85" s="120"/>
      <c r="U85" s="122"/>
      <c r="V85" s="120"/>
      <c r="W85" s="120"/>
      <c r="X85" s="120"/>
      <c r="Y85" s="120"/>
      <c r="Z85" s="120"/>
      <c r="AA85" s="120"/>
      <c r="AB85" s="120"/>
      <c r="AC85" s="120"/>
      <c r="AD85" s="120"/>
      <c r="AE85" s="120"/>
      <c r="AF85" s="120"/>
      <c r="AG85" s="120"/>
      <c r="AH85" s="120"/>
      <c r="AI85" s="119">
        <v>168.69</v>
      </c>
    </row>
    <row r="86" spans="2:35" ht="12.5">
      <c r="B86" s="15" t="s">
        <v>846</v>
      </c>
      <c r="C86" s="144"/>
      <c r="D86" s="118">
        <v>180</v>
      </c>
      <c r="E86" s="244" t="s">
        <v>759</v>
      </c>
      <c r="F86" s="124"/>
      <c r="G86" s="145"/>
      <c r="H86" s="128"/>
      <c r="J86" s="119">
        <f t="shared" si="6"/>
        <v>0</v>
      </c>
      <c r="K86" s="214">
        <f t="shared" si="68"/>
        <v>0</v>
      </c>
      <c r="L86" s="119">
        <f t="shared" si="77"/>
        <v>180</v>
      </c>
      <c r="M86" s="119">
        <f t="shared" si="78"/>
        <v>180</v>
      </c>
      <c r="N86" s="119">
        <f t="shared" si="79"/>
        <v>180</v>
      </c>
      <c r="O86" s="120" t="s">
        <v>756</v>
      </c>
      <c r="P86" s="119">
        <f>_xlfn.XLOOKUP(Rates!$O86,$J$6:$AI$6,J86:AI86)</f>
        <v>180</v>
      </c>
      <c r="Q86" s="120"/>
      <c r="R86" s="119"/>
      <c r="S86" s="122"/>
      <c r="T86" s="120"/>
      <c r="U86" s="122"/>
      <c r="V86" s="120"/>
      <c r="W86" s="120"/>
      <c r="X86" s="120"/>
      <c r="Y86" s="120"/>
      <c r="Z86" s="120"/>
      <c r="AA86" s="120"/>
      <c r="AB86" s="120"/>
      <c r="AC86" s="120"/>
      <c r="AD86" s="120"/>
      <c r="AE86" s="120"/>
      <c r="AF86" s="120"/>
      <c r="AG86" s="120"/>
      <c r="AH86" s="120"/>
      <c r="AI86" s="119">
        <v>180</v>
      </c>
    </row>
    <row r="87" spans="2:35" ht="12.5">
      <c r="B87" s="15" t="s">
        <v>847</v>
      </c>
      <c r="C87" s="144"/>
      <c r="D87" s="118">
        <v>84.344867508965919</v>
      </c>
      <c r="E87" s="244" t="s">
        <v>759</v>
      </c>
      <c r="F87" s="124"/>
      <c r="G87" s="145"/>
      <c r="H87" s="128"/>
      <c r="J87" s="119">
        <f t="shared" si="6"/>
        <v>0</v>
      </c>
      <c r="K87" s="214">
        <f t="shared" si="68"/>
        <v>0</v>
      </c>
      <c r="L87" s="119">
        <f t="shared" si="77"/>
        <v>84.344867508965919</v>
      </c>
      <c r="M87" s="119">
        <f t="shared" si="78"/>
        <v>84.344867508965919</v>
      </c>
      <c r="N87" s="119">
        <f t="shared" si="79"/>
        <v>84.344867508965919</v>
      </c>
      <c r="O87" s="120" t="s">
        <v>756</v>
      </c>
      <c r="P87" s="119">
        <f>_xlfn.XLOOKUP(Rates!$O87,$J$6:$AI$6,J87:AI87)</f>
        <v>84.344867508965919</v>
      </c>
      <c r="Q87" s="120"/>
      <c r="R87" s="119"/>
      <c r="S87" s="122"/>
      <c r="T87" s="120"/>
      <c r="U87" s="122"/>
      <c r="V87" s="120"/>
      <c r="W87" s="120"/>
      <c r="X87" s="120"/>
      <c r="Y87" s="120"/>
      <c r="Z87" s="120"/>
      <c r="AA87" s="120"/>
      <c r="AB87" s="120"/>
      <c r="AC87" s="120"/>
      <c r="AD87" s="120"/>
      <c r="AE87" s="120"/>
      <c r="AF87" s="120"/>
      <c r="AG87" s="120"/>
      <c r="AH87" s="120"/>
      <c r="AI87" s="119">
        <v>84.344867508965919</v>
      </c>
    </row>
    <row r="88" spans="2:35" ht="12.5">
      <c r="B88" s="38" t="s">
        <v>848</v>
      </c>
      <c r="C88" s="144"/>
      <c r="D88" s="118">
        <v>146.19999999999999</v>
      </c>
      <c r="E88" s="244" t="s">
        <v>759</v>
      </c>
      <c r="F88" s="124"/>
      <c r="G88" s="145"/>
      <c r="H88" s="128"/>
      <c r="J88" s="119">
        <f>$N88-$L88</f>
        <v>0</v>
      </c>
      <c r="K88" s="214">
        <f>IF(L88=0,"No min",$J88/$L88)</f>
        <v>0</v>
      </c>
      <c r="L88" s="119">
        <f t="shared" si="77"/>
        <v>146.19999999999999</v>
      </c>
      <c r="M88" s="119">
        <f t="shared" si="78"/>
        <v>146.19999999999999</v>
      </c>
      <c r="N88" s="119">
        <f t="shared" si="79"/>
        <v>146.19999999999999</v>
      </c>
      <c r="O88" s="120" t="s">
        <v>756</v>
      </c>
      <c r="P88" s="119">
        <f>_xlfn.XLOOKUP(Rates!$O88,$J$6:$AI$6,J88:AI88)</f>
        <v>146.19999999999999</v>
      </c>
      <c r="Q88" s="120"/>
      <c r="R88" s="119"/>
      <c r="S88" s="122"/>
      <c r="T88" s="120"/>
      <c r="U88" s="122"/>
      <c r="V88" s="120"/>
      <c r="W88" s="120"/>
      <c r="X88" s="120"/>
      <c r="Y88" s="120"/>
      <c r="Z88" s="120"/>
      <c r="AA88" s="120"/>
      <c r="AB88" s="120"/>
      <c r="AC88" s="120"/>
      <c r="AD88" s="120"/>
      <c r="AE88" s="120"/>
      <c r="AF88" s="120"/>
      <c r="AG88" s="120"/>
      <c r="AH88" s="120"/>
      <c r="AI88" s="119">
        <v>146.19999999999999</v>
      </c>
    </row>
    <row r="89" spans="2:35" ht="12.5">
      <c r="B89" s="38" t="s">
        <v>849</v>
      </c>
      <c r="C89" s="144"/>
      <c r="D89" s="118">
        <v>140.57</v>
      </c>
      <c r="E89" s="244" t="s">
        <v>759</v>
      </c>
      <c r="F89" s="124"/>
      <c r="G89" s="145"/>
      <c r="H89" s="128"/>
      <c r="J89" s="119">
        <f>$N89-$L89</f>
        <v>0</v>
      </c>
      <c r="K89" s="214">
        <f>IF(L89=0,"No min",$J89/$L89)</f>
        <v>0</v>
      </c>
      <c r="L89" s="119">
        <f t="shared" si="77"/>
        <v>140.57</v>
      </c>
      <c r="M89" s="119">
        <f t="shared" si="78"/>
        <v>140.57</v>
      </c>
      <c r="N89" s="119">
        <f t="shared" si="79"/>
        <v>140.57</v>
      </c>
      <c r="O89" s="120" t="s">
        <v>756</v>
      </c>
      <c r="P89" s="119">
        <f>_xlfn.XLOOKUP(Rates!$O89,$J$6:$AI$6,J89:AI89)</f>
        <v>140.57</v>
      </c>
      <c r="Q89" s="120"/>
      <c r="R89" s="119"/>
      <c r="S89" s="122"/>
      <c r="T89" s="120"/>
      <c r="U89" s="122"/>
      <c r="V89" s="120"/>
      <c r="W89" s="120"/>
      <c r="X89" s="120"/>
      <c r="Y89" s="120"/>
      <c r="Z89" s="120"/>
      <c r="AA89" s="120"/>
      <c r="AB89" s="120"/>
      <c r="AC89" s="120"/>
      <c r="AD89" s="120"/>
      <c r="AE89" s="120"/>
      <c r="AF89" s="120"/>
      <c r="AG89" s="120"/>
      <c r="AH89" s="120"/>
      <c r="AI89" s="119">
        <v>140.57</v>
      </c>
    </row>
    <row r="90" spans="2:35" ht="12.5">
      <c r="B90" s="38" t="s">
        <v>850</v>
      </c>
      <c r="C90" s="144"/>
      <c r="D90" s="118">
        <v>500</v>
      </c>
      <c r="E90" s="244" t="s">
        <v>759</v>
      </c>
      <c r="F90" s="124"/>
      <c r="G90" s="145"/>
      <c r="H90" s="128"/>
      <c r="J90" s="119">
        <f>$N90-$L90</f>
        <v>0</v>
      </c>
      <c r="K90" s="214">
        <f>IF(L90=0,"No min",$J90/$L90)</f>
        <v>0</v>
      </c>
      <c r="L90" s="119">
        <f t="shared" si="77"/>
        <v>500</v>
      </c>
      <c r="M90" s="119">
        <f t="shared" si="78"/>
        <v>500</v>
      </c>
      <c r="N90" s="119">
        <f t="shared" si="79"/>
        <v>500</v>
      </c>
      <c r="O90" s="120" t="s">
        <v>756</v>
      </c>
      <c r="P90" s="119">
        <f>_xlfn.XLOOKUP(Rates!$O90,$J$6:$AI$6,J90:AI90)</f>
        <v>500</v>
      </c>
      <c r="Q90" s="120"/>
      <c r="R90" s="119"/>
      <c r="S90" s="122"/>
      <c r="T90" s="120"/>
      <c r="U90" s="122"/>
      <c r="V90" s="120"/>
      <c r="W90" s="120"/>
      <c r="X90" s="120"/>
      <c r="Y90" s="120"/>
      <c r="Z90" s="120"/>
      <c r="AA90" s="120"/>
      <c r="AB90" s="120"/>
      <c r="AC90" s="120"/>
      <c r="AD90" s="120"/>
      <c r="AE90" s="120"/>
      <c r="AF90" s="120"/>
      <c r="AG90" s="120"/>
      <c r="AH90" s="120"/>
      <c r="AI90" s="119">
        <v>500</v>
      </c>
    </row>
    <row r="91" spans="2:35" ht="12.5">
      <c r="B91" s="38" t="s">
        <v>851</v>
      </c>
      <c r="C91" s="144"/>
      <c r="D91" s="118">
        <v>116.03</v>
      </c>
      <c r="E91" s="244" t="s">
        <v>759</v>
      </c>
      <c r="F91" s="124"/>
      <c r="G91" s="145"/>
      <c r="H91" s="128"/>
      <c r="J91" s="119">
        <f>$N91-$L91</f>
        <v>0</v>
      </c>
      <c r="K91" s="214">
        <f>IF(L91=0,"No min",$J91/$L91)</f>
        <v>0</v>
      </c>
      <c r="L91" s="119">
        <f t="shared" si="77"/>
        <v>116.03</v>
      </c>
      <c r="M91" s="119">
        <f t="shared" si="78"/>
        <v>116.03</v>
      </c>
      <c r="N91" s="119">
        <f t="shared" si="79"/>
        <v>116.03</v>
      </c>
      <c r="O91" s="120" t="s">
        <v>756</v>
      </c>
      <c r="P91" s="119">
        <f>_xlfn.XLOOKUP(Rates!$O91,$J$6:$AI$6,J91:AI91)</f>
        <v>116.03</v>
      </c>
      <c r="Q91" s="120"/>
      <c r="R91" s="119"/>
      <c r="S91" s="122"/>
      <c r="T91" s="120"/>
      <c r="U91" s="122"/>
      <c r="V91" s="120"/>
      <c r="W91" s="120"/>
      <c r="X91" s="122"/>
      <c r="Y91" s="120"/>
      <c r="Z91" s="120"/>
      <c r="AA91" s="120"/>
      <c r="AB91" s="120"/>
      <c r="AC91" s="120"/>
      <c r="AD91" s="120"/>
      <c r="AE91" s="120"/>
      <c r="AF91" s="120"/>
      <c r="AG91" s="120"/>
      <c r="AH91" s="120"/>
      <c r="AI91" s="119">
        <v>116.03</v>
      </c>
    </row>
    <row r="92" spans="2:35" ht="13">
      <c r="B92" s="265" t="s">
        <v>852</v>
      </c>
      <c r="C92" s="99"/>
      <c r="U92" s="99"/>
      <c r="AI92" s="385"/>
    </row>
    <row r="93" spans="2:35" ht="12.5">
      <c r="B93" s="15" t="s">
        <v>853</v>
      </c>
      <c r="C93" s="144"/>
      <c r="D93" s="118">
        <v>90</v>
      </c>
      <c r="E93" s="244" t="s">
        <v>759</v>
      </c>
      <c r="F93" s="124" t="s">
        <v>854</v>
      </c>
      <c r="G93" s="145"/>
      <c r="H93" s="128"/>
      <c r="J93" s="119">
        <f t="shared" si="6"/>
        <v>93.87</v>
      </c>
      <c r="K93" s="214">
        <f t="shared" si="68"/>
        <v>1.672367717797969</v>
      </c>
      <c r="L93" s="119">
        <f t="shared" ref="L93" si="80">MIN(R93:AI93)</f>
        <v>56.13</v>
      </c>
      <c r="M93" s="119">
        <f t="shared" ref="M93" si="81">IFERROR(AVERAGE(R93:AI93),"One rate")</f>
        <v>98.71</v>
      </c>
      <c r="N93" s="119">
        <f t="shared" ref="N93" si="82">MAX(R93:AI93)</f>
        <v>150</v>
      </c>
      <c r="O93" s="120" t="s">
        <v>744</v>
      </c>
      <c r="P93" s="119">
        <f>_xlfn.XLOOKUP(Rates!$O93,$J$6:$AI$6,J93:AI93)</f>
        <v>90</v>
      </c>
      <c r="Q93" s="120"/>
      <c r="R93" s="119"/>
      <c r="S93" s="122">
        <v>56.13</v>
      </c>
      <c r="T93" s="120"/>
      <c r="U93" s="120"/>
      <c r="V93" s="120"/>
      <c r="W93" s="122">
        <v>90</v>
      </c>
      <c r="X93" s="120"/>
      <c r="Y93" s="120"/>
      <c r="Z93" s="120"/>
      <c r="AA93" s="120"/>
      <c r="AB93" s="120"/>
      <c r="AC93" s="120"/>
      <c r="AD93" s="120"/>
      <c r="AE93" s="120"/>
      <c r="AF93" s="120"/>
      <c r="AG93" s="120"/>
      <c r="AH93" s="120"/>
      <c r="AI93" s="119">
        <v>150</v>
      </c>
    </row>
    <row r="94" spans="2:35" ht="12.5">
      <c r="B94" s="15" t="s">
        <v>855</v>
      </c>
      <c r="C94" s="144"/>
      <c r="D94" s="118">
        <v>175</v>
      </c>
      <c r="E94" s="244" t="s">
        <v>759</v>
      </c>
      <c r="F94" s="124" t="s">
        <v>760</v>
      </c>
      <c r="G94" s="145"/>
      <c r="H94" s="128"/>
      <c r="J94" s="119">
        <f t="shared" si="6"/>
        <v>45</v>
      </c>
      <c r="K94" s="214">
        <f t="shared" si="68"/>
        <v>0.34615384615384615</v>
      </c>
      <c r="L94" s="119">
        <f t="shared" ref="L94:L104" si="83">MIN(R94:AI94)</f>
        <v>130</v>
      </c>
      <c r="M94" s="119">
        <f t="shared" ref="M94:M104" si="84">IFERROR(AVERAGE(R94:AI94),"One rate")</f>
        <v>152.5</v>
      </c>
      <c r="N94" s="119">
        <f t="shared" ref="N94:N104" si="85">MAX(R94:AI94)</f>
        <v>175</v>
      </c>
      <c r="O94" s="120" t="s">
        <v>740</v>
      </c>
      <c r="P94" s="119">
        <f>_xlfn.XLOOKUP(Rates!$O94,$J$6:$AI$6,J94:AI94)</f>
        <v>175</v>
      </c>
      <c r="Q94" s="120"/>
      <c r="R94" s="119"/>
      <c r="S94" s="122">
        <v>175</v>
      </c>
      <c r="T94" s="120"/>
      <c r="U94" s="122"/>
      <c r="V94" s="122"/>
      <c r="W94" s="122"/>
      <c r="X94" s="120"/>
      <c r="Y94" s="120"/>
      <c r="Z94" s="120"/>
      <c r="AA94" s="120"/>
      <c r="AB94" s="122"/>
      <c r="AC94" s="120"/>
      <c r="AD94" s="120"/>
      <c r="AE94" s="120"/>
      <c r="AF94" s="120"/>
      <c r="AG94" s="120"/>
      <c r="AH94" s="120"/>
      <c r="AI94" s="119">
        <v>130</v>
      </c>
    </row>
    <row r="95" spans="2:35" ht="12.5">
      <c r="B95" s="15" t="s">
        <v>856</v>
      </c>
      <c r="C95" s="144"/>
      <c r="D95" s="118">
        <v>135</v>
      </c>
      <c r="E95" s="244" t="s">
        <v>759</v>
      </c>
      <c r="F95" s="124" t="s">
        <v>857</v>
      </c>
      <c r="G95" s="145"/>
      <c r="H95" s="128"/>
      <c r="J95" s="119">
        <f t="shared" si="6"/>
        <v>18.72</v>
      </c>
      <c r="K95" s="214">
        <f t="shared" si="68"/>
        <v>0.1609907120743034</v>
      </c>
      <c r="L95" s="119">
        <f t="shared" si="83"/>
        <v>116.28</v>
      </c>
      <c r="M95" s="119">
        <f t="shared" si="84"/>
        <v>125.64</v>
      </c>
      <c r="N95" s="119">
        <f t="shared" si="85"/>
        <v>135</v>
      </c>
      <c r="O95" s="120" t="s">
        <v>744</v>
      </c>
      <c r="P95" s="119">
        <f>_xlfn.XLOOKUP(Rates!$O95,$J$6:$AI$6,J95:AI95)</f>
        <v>135</v>
      </c>
      <c r="Q95" s="120"/>
      <c r="R95" s="119"/>
      <c r="S95" s="122">
        <v>116.28</v>
      </c>
      <c r="T95" s="120"/>
      <c r="U95" s="120"/>
      <c r="V95" s="120"/>
      <c r="W95" s="122">
        <v>135</v>
      </c>
      <c r="X95" s="120"/>
      <c r="Y95" s="120"/>
      <c r="Z95" s="120"/>
      <c r="AA95" s="120"/>
      <c r="AB95" s="120"/>
      <c r="AC95" s="120"/>
      <c r="AD95" s="120"/>
      <c r="AE95" s="120"/>
      <c r="AF95" s="120"/>
      <c r="AG95" s="120"/>
      <c r="AH95" s="120"/>
      <c r="AI95" s="119"/>
    </row>
    <row r="96" spans="2:35" ht="12.5">
      <c r="B96" s="15" t="s">
        <v>858</v>
      </c>
      <c r="C96" s="144"/>
      <c r="D96" s="118">
        <v>339</v>
      </c>
      <c r="E96" s="244" t="s">
        <v>759</v>
      </c>
      <c r="F96" s="124" t="s">
        <v>760</v>
      </c>
      <c r="G96" s="145"/>
      <c r="H96" s="128"/>
      <c r="J96" s="119">
        <f t="shared" si="6"/>
        <v>0</v>
      </c>
      <c r="K96" s="214">
        <f t="shared" ref="K96:K116" si="86">IF(L96=0,"No min",$J96/$L96)</f>
        <v>0</v>
      </c>
      <c r="L96" s="119">
        <f t="shared" si="83"/>
        <v>339</v>
      </c>
      <c r="M96" s="119">
        <f t="shared" si="84"/>
        <v>339</v>
      </c>
      <c r="N96" s="119">
        <f t="shared" si="85"/>
        <v>339</v>
      </c>
      <c r="O96" s="120" t="s">
        <v>756</v>
      </c>
      <c r="P96" s="119">
        <f>_xlfn.XLOOKUP(Rates!$O96,$J$6:$AI$6,J96:AI96)</f>
        <v>339</v>
      </c>
      <c r="Q96" s="120"/>
      <c r="R96" s="119"/>
      <c r="S96" s="122"/>
      <c r="T96" s="122"/>
      <c r="U96" s="122"/>
      <c r="V96" s="120"/>
      <c r="W96" s="120"/>
      <c r="X96" s="120"/>
      <c r="Y96" s="120"/>
      <c r="Z96" s="122"/>
      <c r="AA96" s="120"/>
      <c r="AB96" s="120"/>
      <c r="AC96" s="120"/>
      <c r="AD96" s="120"/>
      <c r="AE96" s="120"/>
      <c r="AF96" s="120"/>
      <c r="AG96" s="120"/>
      <c r="AH96" s="120"/>
      <c r="AI96" s="119">
        <v>339</v>
      </c>
    </row>
    <row r="97" spans="2:35" ht="12.5">
      <c r="B97" s="15" t="s">
        <v>859</v>
      </c>
      <c r="C97" s="144"/>
      <c r="D97" s="118">
        <v>187</v>
      </c>
      <c r="E97" s="244" t="s">
        <v>759</v>
      </c>
      <c r="F97" s="124" t="s">
        <v>760</v>
      </c>
      <c r="G97" s="145"/>
      <c r="H97" s="128"/>
      <c r="J97" s="119">
        <f t="shared" ref="J97:J127" si="87">$N97-$L97</f>
        <v>37</v>
      </c>
      <c r="K97" s="214">
        <f t="shared" si="86"/>
        <v>0.24666666666666667</v>
      </c>
      <c r="L97" s="119">
        <f t="shared" si="83"/>
        <v>150</v>
      </c>
      <c r="M97" s="119">
        <f t="shared" si="84"/>
        <v>168.5</v>
      </c>
      <c r="N97" s="119">
        <f t="shared" si="85"/>
        <v>187</v>
      </c>
      <c r="O97" s="120" t="s">
        <v>756</v>
      </c>
      <c r="P97" s="119">
        <f>_xlfn.XLOOKUP(Rates!$O97,$J$6:$AI$6,J97:AI97)</f>
        <v>187</v>
      </c>
      <c r="Q97" s="120"/>
      <c r="R97" s="119"/>
      <c r="S97" s="122">
        <v>150</v>
      </c>
      <c r="T97" s="120"/>
      <c r="U97" s="120"/>
      <c r="V97" s="122"/>
      <c r="W97" s="122"/>
      <c r="X97" s="120"/>
      <c r="Y97" s="120"/>
      <c r="Z97" s="120"/>
      <c r="AA97" s="120"/>
      <c r="AB97" s="120"/>
      <c r="AC97" s="120"/>
      <c r="AD97" s="120"/>
      <c r="AE97" s="122"/>
      <c r="AF97" s="120"/>
      <c r="AG97" s="120"/>
      <c r="AH97" s="120"/>
      <c r="AI97" s="119">
        <v>187</v>
      </c>
    </row>
    <row r="98" spans="2:35" ht="12.5">
      <c r="B98" s="15" t="s">
        <v>860</v>
      </c>
      <c r="C98" s="144"/>
      <c r="D98" s="118">
        <v>259.04044949692695</v>
      </c>
      <c r="E98" s="244" t="s">
        <v>759</v>
      </c>
      <c r="F98" s="124" t="s">
        <v>760</v>
      </c>
      <c r="G98" s="145"/>
      <c r="H98" s="128"/>
      <c r="J98" s="119">
        <f t="shared" si="87"/>
        <v>72.040449496926954</v>
      </c>
      <c r="K98" s="214">
        <f t="shared" si="86"/>
        <v>0.38524304543811205</v>
      </c>
      <c r="L98" s="119">
        <f t="shared" si="83"/>
        <v>187</v>
      </c>
      <c r="M98" s="119">
        <f t="shared" si="84"/>
        <v>223.02022474846348</v>
      </c>
      <c r="N98" s="119">
        <f t="shared" si="85"/>
        <v>259.04044949692695</v>
      </c>
      <c r="O98" s="120" t="s">
        <v>740</v>
      </c>
      <c r="P98" s="119">
        <f>_xlfn.XLOOKUP(Rates!$O98,$J$6:$AI$6,J98:AI98)</f>
        <v>259.04044949692695</v>
      </c>
      <c r="Q98" s="120"/>
      <c r="R98" s="119"/>
      <c r="S98" s="122">
        <v>259.04044949692695</v>
      </c>
      <c r="T98" s="122"/>
      <c r="U98" s="122"/>
      <c r="V98" s="120"/>
      <c r="W98" s="120"/>
      <c r="X98" s="120"/>
      <c r="Y98" s="120"/>
      <c r="Z98" s="120"/>
      <c r="AA98" s="120"/>
      <c r="AB98" s="120"/>
      <c r="AC98" s="120"/>
      <c r="AD98" s="120"/>
      <c r="AE98" s="120"/>
      <c r="AF98" s="120"/>
      <c r="AG98" s="120"/>
      <c r="AH98" s="120"/>
      <c r="AI98" s="119">
        <v>187</v>
      </c>
    </row>
    <row r="99" spans="2:35" ht="12.5">
      <c r="B99" s="38" t="s">
        <v>861</v>
      </c>
      <c r="C99" s="144"/>
      <c r="D99" s="118">
        <v>230</v>
      </c>
      <c r="E99" s="244" t="s">
        <v>759</v>
      </c>
      <c r="F99" s="124" t="s">
        <v>760</v>
      </c>
      <c r="G99" s="145"/>
      <c r="H99" s="125"/>
      <c r="J99" s="119">
        <f t="shared" ref="J99:J104" si="88">$N99-$L99</f>
        <v>1.539999999999992</v>
      </c>
      <c r="K99" s="214">
        <f t="shared" ref="K99:K104" si="89">IF(L99=0,"No min",$J99/$L99)</f>
        <v>6.6956521739130088E-3</v>
      </c>
      <c r="L99" s="119">
        <f t="shared" si="83"/>
        <v>230</v>
      </c>
      <c r="M99" s="119">
        <f t="shared" si="84"/>
        <v>230.76999999999998</v>
      </c>
      <c r="N99" s="119">
        <f t="shared" si="85"/>
        <v>231.54</v>
      </c>
      <c r="O99" s="120" t="s">
        <v>756</v>
      </c>
      <c r="P99" s="119">
        <f>_xlfn.XLOOKUP(Rates!$O99,$J$6:$AI$6,J99:AI99)</f>
        <v>230</v>
      </c>
      <c r="Q99" s="120"/>
      <c r="R99" s="119"/>
      <c r="S99" s="127">
        <v>231.54</v>
      </c>
      <c r="T99" s="127"/>
      <c r="U99" s="120"/>
      <c r="V99" s="120"/>
      <c r="W99" s="120"/>
      <c r="X99" s="120"/>
      <c r="Y99" s="120"/>
      <c r="Z99" s="120"/>
      <c r="AA99" s="120"/>
      <c r="AB99" s="120"/>
      <c r="AC99" s="120"/>
      <c r="AD99" s="120"/>
      <c r="AE99" s="120"/>
      <c r="AF99" s="120"/>
      <c r="AG99" s="120"/>
      <c r="AH99" s="120"/>
      <c r="AI99" s="119">
        <v>230</v>
      </c>
    </row>
    <row r="100" spans="2:35" ht="12.5">
      <c r="B100" s="38" t="s">
        <v>862</v>
      </c>
      <c r="C100" s="144"/>
      <c r="D100" s="118">
        <v>392.7</v>
      </c>
      <c r="E100" s="244" t="s">
        <v>759</v>
      </c>
      <c r="F100" s="124" t="s">
        <v>760</v>
      </c>
      <c r="G100" s="145"/>
      <c r="H100" s="125"/>
      <c r="J100" s="119">
        <f t="shared" si="88"/>
        <v>0</v>
      </c>
      <c r="K100" s="214">
        <f t="shared" si="89"/>
        <v>0</v>
      </c>
      <c r="L100" s="119">
        <f t="shared" si="83"/>
        <v>392.7</v>
      </c>
      <c r="M100" s="119">
        <f t="shared" si="84"/>
        <v>392.7</v>
      </c>
      <c r="N100" s="119">
        <f t="shared" si="85"/>
        <v>392.7</v>
      </c>
      <c r="O100" s="120" t="s">
        <v>756</v>
      </c>
      <c r="P100" s="119">
        <f>_xlfn.XLOOKUP(Rates!$O100,$J$6:$AI$6,J100:AI100)</f>
        <v>392.7</v>
      </c>
      <c r="Q100" s="120"/>
      <c r="R100" s="119"/>
      <c r="S100" s="127"/>
      <c r="T100" s="127"/>
      <c r="U100" s="120"/>
      <c r="V100" s="120"/>
      <c r="W100" s="120"/>
      <c r="X100" s="120"/>
      <c r="Y100" s="120"/>
      <c r="Z100" s="120"/>
      <c r="AA100" s="120"/>
      <c r="AB100" s="120"/>
      <c r="AC100" s="120"/>
      <c r="AD100" s="120"/>
      <c r="AE100" s="120"/>
      <c r="AF100" s="120"/>
      <c r="AG100" s="120"/>
      <c r="AH100" s="120"/>
      <c r="AI100" s="119">
        <v>392.7</v>
      </c>
    </row>
    <row r="101" spans="2:35" ht="12.5">
      <c r="B101" s="38" t="s">
        <v>863</v>
      </c>
      <c r="C101" s="144"/>
      <c r="D101" s="118">
        <v>166</v>
      </c>
      <c r="E101" s="244" t="s">
        <v>759</v>
      </c>
      <c r="F101" s="124" t="s">
        <v>760</v>
      </c>
      <c r="G101" s="145"/>
      <c r="H101" s="125"/>
      <c r="J101" s="119">
        <f t="shared" si="88"/>
        <v>0</v>
      </c>
      <c r="K101" s="214">
        <f t="shared" si="89"/>
        <v>0</v>
      </c>
      <c r="L101" s="119">
        <f t="shared" si="83"/>
        <v>166</v>
      </c>
      <c r="M101" s="119">
        <f t="shared" si="84"/>
        <v>166</v>
      </c>
      <c r="N101" s="119">
        <f t="shared" si="85"/>
        <v>166</v>
      </c>
      <c r="O101" s="120" t="s">
        <v>756</v>
      </c>
      <c r="P101" s="119">
        <f>_xlfn.XLOOKUP(Rates!$O101,$J$6:$AI$6,J101:AI101)</f>
        <v>166</v>
      </c>
      <c r="Q101" s="120"/>
      <c r="R101" s="119"/>
      <c r="S101" s="127"/>
      <c r="T101" s="127"/>
      <c r="U101" s="120"/>
      <c r="V101" s="120"/>
      <c r="W101" s="120"/>
      <c r="X101" s="120"/>
      <c r="Y101" s="120"/>
      <c r="Z101" s="120"/>
      <c r="AA101" s="120"/>
      <c r="AB101" s="120"/>
      <c r="AC101" s="120"/>
      <c r="AD101" s="120"/>
      <c r="AE101" s="120"/>
      <c r="AF101" s="120"/>
      <c r="AG101" s="120"/>
      <c r="AH101" s="120"/>
      <c r="AI101" s="119">
        <v>166</v>
      </c>
    </row>
    <row r="102" spans="2:35" ht="12.5">
      <c r="B102" s="38" t="s">
        <v>864</v>
      </c>
      <c r="C102" s="144"/>
      <c r="D102" s="118">
        <v>350</v>
      </c>
      <c r="E102" s="244" t="s">
        <v>759</v>
      </c>
      <c r="F102" s="124" t="s">
        <v>865</v>
      </c>
      <c r="G102" s="145"/>
      <c r="H102" s="125"/>
      <c r="J102" s="119">
        <f t="shared" si="88"/>
        <v>0</v>
      </c>
      <c r="K102" s="214">
        <f t="shared" si="89"/>
        <v>0</v>
      </c>
      <c r="L102" s="119">
        <f t="shared" si="83"/>
        <v>350</v>
      </c>
      <c r="M102" s="119">
        <f t="shared" si="84"/>
        <v>350</v>
      </c>
      <c r="N102" s="119">
        <f t="shared" si="85"/>
        <v>350</v>
      </c>
      <c r="O102" s="120" t="s">
        <v>756</v>
      </c>
      <c r="P102" s="119">
        <f>_xlfn.XLOOKUP(Rates!$O102,$J$6:$AI$6,J102:AI102)</f>
        <v>350</v>
      </c>
      <c r="Q102" s="120"/>
      <c r="R102" s="119"/>
      <c r="S102" s="119"/>
      <c r="T102" s="119"/>
      <c r="U102" s="120"/>
      <c r="V102" s="120"/>
      <c r="W102" s="122"/>
      <c r="X102" s="120"/>
      <c r="Y102" s="120"/>
      <c r="Z102" s="120"/>
      <c r="AA102" s="120"/>
      <c r="AB102" s="120"/>
      <c r="AC102" s="120"/>
      <c r="AD102" s="120"/>
      <c r="AE102" s="120"/>
      <c r="AF102" s="120"/>
      <c r="AG102" s="120"/>
      <c r="AH102" s="120"/>
      <c r="AI102" s="119">
        <v>350</v>
      </c>
    </row>
    <row r="103" spans="2:35" ht="12.5">
      <c r="B103" s="38" t="s">
        <v>866</v>
      </c>
      <c r="C103" s="144"/>
      <c r="D103" s="118">
        <v>324.54360000000003</v>
      </c>
      <c r="E103" s="244" t="s">
        <v>759</v>
      </c>
      <c r="F103" s="124" t="s">
        <v>760</v>
      </c>
      <c r="G103" s="145"/>
      <c r="H103" s="125"/>
      <c r="J103" s="119">
        <f t="shared" si="88"/>
        <v>0</v>
      </c>
      <c r="K103" s="214">
        <f t="shared" si="89"/>
        <v>0</v>
      </c>
      <c r="L103" s="119">
        <f t="shared" si="83"/>
        <v>324.54360000000003</v>
      </c>
      <c r="M103" s="119">
        <f t="shared" si="84"/>
        <v>324.54360000000003</v>
      </c>
      <c r="N103" s="119">
        <f t="shared" si="85"/>
        <v>324.54360000000003</v>
      </c>
      <c r="O103" s="120" t="s">
        <v>756</v>
      </c>
      <c r="P103" s="119">
        <f>_xlfn.XLOOKUP(Rates!$O103,$J$6:$AI$6,J103:AI103)</f>
        <v>324.54360000000003</v>
      </c>
      <c r="Q103" s="120"/>
      <c r="R103" s="119"/>
      <c r="S103" s="119"/>
      <c r="T103" s="119"/>
      <c r="U103" s="120"/>
      <c r="V103" s="120"/>
      <c r="W103" s="120"/>
      <c r="X103" s="120"/>
      <c r="Y103" s="120"/>
      <c r="Z103" s="120"/>
      <c r="AA103" s="120"/>
      <c r="AB103" s="120"/>
      <c r="AC103" s="120"/>
      <c r="AD103" s="120"/>
      <c r="AE103" s="120"/>
      <c r="AF103" s="120"/>
      <c r="AG103" s="120"/>
      <c r="AH103" s="120"/>
      <c r="AI103" s="119">
        <v>324.54360000000003</v>
      </c>
    </row>
    <row r="104" spans="2:35" ht="12.5">
      <c r="B104" s="38" t="s">
        <v>867</v>
      </c>
      <c r="C104" s="144"/>
      <c r="D104" s="118">
        <v>300</v>
      </c>
      <c r="E104" s="244" t="s">
        <v>759</v>
      </c>
      <c r="F104" s="124" t="s">
        <v>760</v>
      </c>
      <c r="G104" s="145"/>
      <c r="H104" s="125"/>
      <c r="J104" s="119">
        <f t="shared" si="88"/>
        <v>0</v>
      </c>
      <c r="K104" s="214">
        <f t="shared" si="89"/>
        <v>0</v>
      </c>
      <c r="L104" s="119">
        <f t="shared" si="83"/>
        <v>300</v>
      </c>
      <c r="M104" s="119">
        <f t="shared" si="84"/>
        <v>300</v>
      </c>
      <c r="N104" s="119">
        <f t="shared" si="85"/>
        <v>300</v>
      </c>
      <c r="O104" s="120" t="s">
        <v>756</v>
      </c>
      <c r="P104" s="119">
        <f>_xlfn.XLOOKUP(Rates!$O104,$J$6:$AI$6,J104:AI104)</f>
        <v>300</v>
      </c>
      <c r="Q104" s="120"/>
      <c r="R104" s="119"/>
      <c r="S104" s="127"/>
      <c r="T104" s="127"/>
      <c r="U104" s="120"/>
      <c r="V104" s="120"/>
      <c r="W104" s="120"/>
      <c r="X104" s="120"/>
      <c r="Y104" s="120"/>
      <c r="Z104" s="120"/>
      <c r="AA104" s="120"/>
      <c r="AB104" s="120"/>
      <c r="AC104" s="120"/>
      <c r="AD104" s="120"/>
      <c r="AE104" s="120"/>
      <c r="AF104" s="120"/>
      <c r="AG104" s="120"/>
      <c r="AH104" s="120"/>
      <c r="AI104" s="119">
        <v>300</v>
      </c>
    </row>
    <row r="105" spans="2:35" ht="13">
      <c r="B105" s="265" t="s">
        <v>868</v>
      </c>
      <c r="C105" s="99"/>
      <c r="H105" s="244"/>
    </row>
    <row r="106" spans="2:35" ht="12.5">
      <c r="B106" s="38" t="s">
        <v>869</v>
      </c>
      <c r="C106" s="144"/>
      <c r="D106" s="118">
        <v>134.19</v>
      </c>
      <c r="E106" s="244" t="s">
        <v>841</v>
      </c>
      <c r="F106" s="124" t="s">
        <v>870</v>
      </c>
      <c r="G106" s="145"/>
      <c r="H106" s="128"/>
      <c r="J106" s="119">
        <f>$N106-$L106</f>
        <v>0</v>
      </c>
      <c r="K106" s="214">
        <f>IF(L106=0,"No min",$J106/$L106)</f>
        <v>0</v>
      </c>
      <c r="L106" s="119">
        <f t="shared" ref="L106" si="90">MIN(R106:AI106)</f>
        <v>134.19</v>
      </c>
      <c r="M106" s="119">
        <f t="shared" ref="M106" si="91">IFERROR(AVERAGE(R106:AI106),"One rate")</f>
        <v>134.19</v>
      </c>
      <c r="N106" s="119">
        <f t="shared" ref="N106" si="92">MAX(R106:AI106)</f>
        <v>134.19</v>
      </c>
      <c r="O106" s="120" t="s">
        <v>751</v>
      </c>
      <c r="P106" s="119">
        <f>_xlfn.XLOOKUP(Rates!$O106,$J$6:$AI$6,J106:AI106)</f>
        <v>134.19</v>
      </c>
      <c r="Q106" s="120"/>
      <c r="R106" s="119"/>
      <c r="S106" s="120"/>
      <c r="T106" s="120"/>
      <c r="U106" s="120"/>
      <c r="V106" s="120"/>
      <c r="W106" s="120"/>
      <c r="X106" s="120"/>
      <c r="Y106" s="120"/>
      <c r="Z106" s="120"/>
      <c r="AA106" s="120"/>
      <c r="AB106" s="120"/>
      <c r="AC106" s="120"/>
      <c r="AD106" s="122">
        <v>134.19</v>
      </c>
      <c r="AE106" s="120"/>
      <c r="AF106" s="120"/>
      <c r="AG106" s="120"/>
      <c r="AH106" s="120"/>
      <c r="AI106" s="119"/>
    </row>
    <row r="107" spans="2:35" ht="12.5">
      <c r="B107" s="38" t="s">
        <v>871</v>
      </c>
      <c r="C107" s="144"/>
      <c r="D107" s="118">
        <v>200</v>
      </c>
      <c r="E107" s="244" t="s">
        <v>841</v>
      </c>
      <c r="F107" s="124" t="s">
        <v>640</v>
      </c>
      <c r="G107" s="145"/>
      <c r="H107" s="128"/>
      <c r="J107" s="119">
        <f>$N107-$L107</f>
        <v>0</v>
      </c>
      <c r="K107" s="214">
        <f>IF(L107=0,"No min",$J107/$L107)</f>
        <v>0</v>
      </c>
      <c r="L107" s="119">
        <f t="shared" ref="L107" si="93">MIN(R107:AI107)</f>
        <v>200</v>
      </c>
      <c r="M107" s="119">
        <f t="shared" ref="M107" si="94">IFERROR(AVERAGE(R107:AI107),"One rate")</f>
        <v>200</v>
      </c>
      <c r="N107" s="119">
        <f t="shared" ref="N107" si="95">MAX(R107:AI107)</f>
        <v>200</v>
      </c>
      <c r="O107" s="120" t="s">
        <v>756</v>
      </c>
      <c r="P107" s="119">
        <f>_xlfn.XLOOKUP(Rates!$O107,$J$6:$AI$6,J107:AI107)</f>
        <v>200</v>
      </c>
      <c r="Q107" s="120"/>
      <c r="R107" s="119"/>
      <c r="S107" s="120"/>
      <c r="T107" s="120"/>
      <c r="U107" s="120"/>
      <c r="V107" s="120"/>
      <c r="W107" s="120"/>
      <c r="X107" s="120"/>
      <c r="Y107" s="120"/>
      <c r="Z107" s="120"/>
      <c r="AA107" s="120"/>
      <c r="AB107" s="120"/>
      <c r="AC107" s="120"/>
      <c r="AD107" s="127"/>
      <c r="AE107" s="120"/>
      <c r="AF107" s="120"/>
      <c r="AG107" s="120"/>
      <c r="AH107" s="120"/>
      <c r="AI107" s="119">
        <v>200</v>
      </c>
    </row>
    <row r="108" spans="2:35" ht="13">
      <c r="B108" s="265" t="s">
        <v>872</v>
      </c>
      <c r="C108" s="99"/>
      <c r="AI108" s="385"/>
    </row>
    <row r="109" spans="2:35" ht="12.5">
      <c r="B109" s="15" t="s">
        <v>873</v>
      </c>
      <c r="C109" s="144"/>
      <c r="D109" s="118">
        <v>70</v>
      </c>
      <c r="E109" s="244" t="s">
        <v>636</v>
      </c>
      <c r="F109" s="124" t="s">
        <v>874</v>
      </c>
      <c r="G109" s="145"/>
      <c r="H109" s="128"/>
      <c r="J109" s="119">
        <f t="shared" si="87"/>
        <v>0</v>
      </c>
      <c r="K109" s="214">
        <f t="shared" si="86"/>
        <v>0</v>
      </c>
      <c r="L109" s="119">
        <f t="shared" ref="L109" si="96">MIN(R109:AI109)</f>
        <v>70</v>
      </c>
      <c r="M109" s="119">
        <f t="shared" ref="M109" si="97">IFERROR(AVERAGE(R109:AI109),"One rate")</f>
        <v>70</v>
      </c>
      <c r="N109" s="119">
        <f t="shared" ref="N109" si="98">MAX(R109:AI109)</f>
        <v>70</v>
      </c>
      <c r="O109" s="120" t="s">
        <v>745</v>
      </c>
      <c r="P109" s="119">
        <f>_xlfn.XLOOKUP(Rates!$O109,$J$6:$AI$6,J109:AI109)</f>
        <v>70</v>
      </c>
      <c r="Q109" s="120"/>
      <c r="R109" s="119"/>
      <c r="S109" s="120"/>
      <c r="T109" s="120"/>
      <c r="U109" s="120"/>
      <c r="V109" s="120"/>
      <c r="W109" s="120"/>
      <c r="X109" s="122">
        <v>70</v>
      </c>
      <c r="Y109" s="120"/>
      <c r="Z109" s="120"/>
      <c r="AA109" s="120"/>
      <c r="AB109" s="120"/>
      <c r="AC109" s="120"/>
      <c r="AD109" s="120"/>
      <c r="AE109" s="120"/>
      <c r="AF109" s="120"/>
      <c r="AG109" s="120"/>
      <c r="AH109" s="120"/>
      <c r="AI109" s="119"/>
    </row>
    <row r="110" spans="2:35" ht="12.5">
      <c r="B110" s="15" t="s">
        <v>370</v>
      </c>
      <c r="C110" s="144"/>
      <c r="D110" s="118">
        <v>0</v>
      </c>
      <c r="E110" s="244" t="s">
        <v>636</v>
      </c>
      <c r="F110" s="124" t="s">
        <v>875</v>
      </c>
      <c r="G110" s="145"/>
      <c r="H110" s="128"/>
      <c r="J110" s="119">
        <f t="shared" si="87"/>
        <v>0</v>
      </c>
      <c r="K110" s="214" t="str">
        <f t="shared" si="86"/>
        <v>No min</v>
      </c>
      <c r="L110" s="119">
        <f t="shared" ref="L110:L123" si="99">MIN(R110:AI110)</f>
        <v>0</v>
      </c>
      <c r="M110" s="119">
        <f t="shared" ref="M110:M123" si="100">IFERROR(AVERAGE(R110:AI110),"One rate")</f>
        <v>0</v>
      </c>
      <c r="N110" s="119">
        <f t="shared" ref="N110:N123" si="101">MAX(R110:AI110)</f>
        <v>0</v>
      </c>
      <c r="O110" s="120" t="s">
        <v>745</v>
      </c>
      <c r="P110" s="119">
        <f>_xlfn.XLOOKUP(Rates!$O110,$J$6:$AI$6,J110:AI110)</f>
        <v>0</v>
      </c>
      <c r="Q110" s="120"/>
      <c r="R110" s="119"/>
      <c r="S110" s="120"/>
      <c r="T110" s="120"/>
      <c r="U110" s="120"/>
      <c r="V110" s="120"/>
      <c r="W110" s="120"/>
      <c r="X110" s="122">
        <v>0</v>
      </c>
      <c r="Y110" s="120"/>
      <c r="Z110" s="120"/>
      <c r="AA110" s="120"/>
      <c r="AB110" s="120"/>
      <c r="AC110" s="120"/>
      <c r="AD110" s="120"/>
      <c r="AE110" s="120"/>
      <c r="AF110" s="120"/>
      <c r="AG110" s="120"/>
      <c r="AH110" s="120"/>
      <c r="AI110" s="119">
        <v>0</v>
      </c>
    </row>
    <row r="111" spans="2:35" ht="12.5">
      <c r="B111" s="15" t="s">
        <v>876</v>
      </c>
      <c r="C111" s="144"/>
      <c r="D111" s="118">
        <v>275</v>
      </c>
      <c r="E111" s="244" t="s">
        <v>636</v>
      </c>
      <c r="F111" s="124" t="s">
        <v>877</v>
      </c>
      <c r="G111" s="145"/>
      <c r="J111" s="119">
        <f t="shared" si="87"/>
        <v>25</v>
      </c>
      <c r="K111" s="214">
        <f t="shared" si="86"/>
        <v>9.0909090909090912E-2</v>
      </c>
      <c r="L111" s="119">
        <f t="shared" si="99"/>
        <v>275</v>
      </c>
      <c r="M111" s="119">
        <f t="shared" si="100"/>
        <v>283.33333333333331</v>
      </c>
      <c r="N111" s="119">
        <f t="shared" si="101"/>
        <v>300</v>
      </c>
      <c r="O111" s="120" t="s">
        <v>745</v>
      </c>
      <c r="P111" s="119">
        <f>_xlfn.XLOOKUP(Rates!$O111,$J$6:$AI$6,J111:AI111)</f>
        <v>275</v>
      </c>
      <c r="Q111" s="120"/>
      <c r="R111" s="119">
        <v>275</v>
      </c>
      <c r="S111" s="120"/>
      <c r="T111" s="120"/>
      <c r="U111" s="120"/>
      <c r="V111" s="120"/>
      <c r="W111" s="120"/>
      <c r="X111" s="119">
        <v>275</v>
      </c>
      <c r="Y111" s="120"/>
      <c r="Z111" s="120"/>
      <c r="AA111" s="120"/>
      <c r="AB111" s="120"/>
      <c r="AC111" s="120"/>
      <c r="AD111" s="120"/>
      <c r="AE111" s="120"/>
      <c r="AF111" s="120"/>
      <c r="AG111" s="120"/>
      <c r="AH111" s="120"/>
      <c r="AI111" s="119">
        <v>300</v>
      </c>
    </row>
    <row r="112" spans="2:35" ht="12.5">
      <c r="B112" s="15" t="s">
        <v>878</v>
      </c>
      <c r="C112" s="144"/>
      <c r="D112" s="118">
        <v>35</v>
      </c>
      <c r="E112" s="244" t="s">
        <v>636</v>
      </c>
      <c r="F112" s="124"/>
      <c r="G112" s="145"/>
      <c r="J112" s="119">
        <f t="shared" si="87"/>
        <v>0</v>
      </c>
      <c r="K112" s="214">
        <f t="shared" si="86"/>
        <v>0</v>
      </c>
      <c r="L112" s="119">
        <f t="shared" si="99"/>
        <v>35</v>
      </c>
      <c r="M112" s="119">
        <f t="shared" si="100"/>
        <v>35</v>
      </c>
      <c r="N112" s="119">
        <f t="shared" si="101"/>
        <v>35</v>
      </c>
      <c r="O112" s="120" t="s">
        <v>745</v>
      </c>
      <c r="P112" s="119">
        <f>_xlfn.XLOOKUP(Rates!$O112,$J$6:$AI$6,J112:AI112)</f>
        <v>35</v>
      </c>
      <c r="Q112" s="120"/>
      <c r="R112" s="119">
        <v>35</v>
      </c>
      <c r="S112" s="120"/>
      <c r="T112" s="120"/>
      <c r="U112" s="120"/>
      <c r="V112" s="120"/>
      <c r="W112" s="120"/>
      <c r="X112" s="119">
        <v>35</v>
      </c>
      <c r="Y112" s="120"/>
      <c r="Z112" s="120"/>
      <c r="AA112" s="120"/>
      <c r="AB112" s="120"/>
      <c r="AC112" s="120"/>
      <c r="AD112" s="120"/>
      <c r="AE112" s="120"/>
      <c r="AF112" s="120"/>
      <c r="AG112" s="120"/>
      <c r="AH112" s="120"/>
      <c r="AI112" s="119"/>
    </row>
    <row r="113" spans="2:35" ht="12.5">
      <c r="B113" s="15" t="s">
        <v>879</v>
      </c>
      <c r="C113" s="144"/>
      <c r="D113" s="118">
        <v>90</v>
      </c>
      <c r="E113" s="244" t="s">
        <v>636</v>
      </c>
      <c r="F113" s="124"/>
      <c r="G113" s="145"/>
      <c r="J113" s="119">
        <f t="shared" si="87"/>
        <v>0</v>
      </c>
      <c r="K113" s="214">
        <f t="shared" si="86"/>
        <v>0</v>
      </c>
      <c r="L113" s="119">
        <f t="shared" si="99"/>
        <v>90</v>
      </c>
      <c r="M113" s="119">
        <f t="shared" si="100"/>
        <v>90</v>
      </c>
      <c r="N113" s="119">
        <f t="shared" si="101"/>
        <v>90</v>
      </c>
      <c r="O113" s="120" t="s">
        <v>745</v>
      </c>
      <c r="P113" s="119">
        <f>_xlfn.XLOOKUP(Rates!$O113,$J$6:$AI$6,J113:AI113)</f>
        <v>90</v>
      </c>
      <c r="Q113" s="120"/>
      <c r="R113" s="119">
        <v>90</v>
      </c>
      <c r="S113" s="120"/>
      <c r="T113" s="120"/>
      <c r="U113" s="120"/>
      <c r="V113" s="120"/>
      <c r="W113" s="120"/>
      <c r="X113" s="119">
        <v>90</v>
      </c>
      <c r="Y113" s="120"/>
      <c r="Z113" s="120"/>
      <c r="AA113" s="120"/>
      <c r="AB113" s="120"/>
      <c r="AC113" s="120"/>
      <c r="AD113" s="120"/>
      <c r="AE113" s="120"/>
      <c r="AF113" s="120"/>
      <c r="AG113" s="120"/>
      <c r="AH113" s="120"/>
      <c r="AI113" s="119"/>
    </row>
    <row r="114" spans="2:35" ht="12.5">
      <c r="B114" s="15" t="s">
        <v>880</v>
      </c>
      <c r="C114" s="144"/>
      <c r="D114" s="118">
        <v>275</v>
      </c>
      <c r="E114" s="244" t="s">
        <v>636</v>
      </c>
      <c r="F114" s="124" t="s">
        <v>877</v>
      </c>
      <c r="G114" s="145"/>
      <c r="J114" s="119">
        <f t="shared" si="87"/>
        <v>0</v>
      </c>
      <c r="K114" s="214">
        <f t="shared" si="86"/>
        <v>0</v>
      </c>
      <c r="L114" s="119">
        <f t="shared" si="99"/>
        <v>275</v>
      </c>
      <c r="M114" s="119">
        <f t="shared" si="100"/>
        <v>275</v>
      </c>
      <c r="N114" s="119">
        <f t="shared" si="101"/>
        <v>275</v>
      </c>
      <c r="O114" s="120" t="s">
        <v>745</v>
      </c>
      <c r="P114" s="119">
        <f>_xlfn.XLOOKUP(Rates!$O114,$J$6:$AI$6,J114:AI114)</f>
        <v>275</v>
      </c>
      <c r="Q114" s="120"/>
      <c r="R114" s="119">
        <v>275</v>
      </c>
      <c r="S114" s="120"/>
      <c r="T114" s="120"/>
      <c r="U114" s="120"/>
      <c r="V114" s="120"/>
      <c r="W114" s="120"/>
      <c r="X114" s="119">
        <v>275</v>
      </c>
      <c r="Y114" s="120"/>
      <c r="Z114" s="120"/>
      <c r="AA114" s="120"/>
      <c r="AB114" s="120"/>
      <c r="AC114" s="120"/>
      <c r="AD114" s="120"/>
      <c r="AE114" s="120"/>
      <c r="AF114" s="120"/>
      <c r="AG114" s="120"/>
      <c r="AH114" s="120"/>
      <c r="AI114" s="119"/>
    </row>
    <row r="115" spans="2:35" ht="12.5">
      <c r="B115" s="15" t="s">
        <v>881</v>
      </c>
      <c r="C115" s="144"/>
      <c r="D115" s="118">
        <v>500</v>
      </c>
      <c r="E115" s="244" t="s">
        <v>636</v>
      </c>
      <c r="F115" s="124"/>
      <c r="G115" s="145"/>
      <c r="J115" s="119">
        <f t="shared" si="87"/>
        <v>0</v>
      </c>
      <c r="K115" s="214">
        <f t="shared" si="86"/>
        <v>0</v>
      </c>
      <c r="L115" s="119">
        <f t="shared" si="99"/>
        <v>500</v>
      </c>
      <c r="M115" s="119">
        <f t="shared" si="100"/>
        <v>500</v>
      </c>
      <c r="N115" s="119">
        <f t="shared" si="101"/>
        <v>500</v>
      </c>
      <c r="O115" s="120" t="s">
        <v>745</v>
      </c>
      <c r="P115" s="119">
        <f>_xlfn.XLOOKUP(Rates!$O115,$J$6:$AI$6,J115:AI115)</f>
        <v>500</v>
      </c>
      <c r="Q115" s="120"/>
      <c r="R115" s="119">
        <v>500</v>
      </c>
      <c r="S115" s="119"/>
      <c r="T115" s="120"/>
      <c r="U115" s="120"/>
      <c r="V115" s="120"/>
      <c r="W115" s="120"/>
      <c r="X115" s="119">
        <v>500</v>
      </c>
      <c r="Y115" s="120"/>
      <c r="Z115" s="120"/>
      <c r="AA115" s="120"/>
      <c r="AB115" s="120"/>
      <c r="AC115" s="120"/>
      <c r="AD115" s="120"/>
      <c r="AE115" s="120"/>
      <c r="AF115" s="120"/>
      <c r="AG115" s="120"/>
      <c r="AH115" s="120"/>
      <c r="AI115" s="119"/>
    </row>
    <row r="116" spans="2:35" ht="13.5" customHeight="1">
      <c r="B116" s="15" t="s">
        <v>882</v>
      </c>
      <c r="C116" s="144"/>
      <c r="D116" s="118">
        <v>171</v>
      </c>
      <c r="E116" s="244" t="s">
        <v>636</v>
      </c>
      <c r="F116" s="142" t="s">
        <v>883</v>
      </c>
      <c r="G116" s="145"/>
      <c r="J116" s="119">
        <f t="shared" si="87"/>
        <v>0</v>
      </c>
      <c r="K116" s="214">
        <f t="shared" si="86"/>
        <v>0</v>
      </c>
      <c r="L116" s="119">
        <f t="shared" si="99"/>
        <v>171</v>
      </c>
      <c r="M116" s="119">
        <f t="shared" si="100"/>
        <v>171</v>
      </c>
      <c r="N116" s="119">
        <f t="shared" si="101"/>
        <v>171</v>
      </c>
      <c r="O116" s="120" t="s">
        <v>745</v>
      </c>
      <c r="P116" s="119">
        <f>_xlfn.XLOOKUP(Rates!$O116,$J$6:$AI$6,J116:AI116)</f>
        <v>171</v>
      </c>
      <c r="Q116" s="120"/>
      <c r="R116" s="119"/>
      <c r="S116" s="120"/>
      <c r="T116" s="120"/>
      <c r="U116" s="120"/>
      <c r="V116" s="120"/>
      <c r="W116" s="120"/>
      <c r="X116" s="119">
        <v>171</v>
      </c>
      <c r="Y116" s="120"/>
      <c r="Z116" s="120"/>
      <c r="AA116" s="120"/>
      <c r="AB116" s="120"/>
      <c r="AC116" s="120"/>
      <c r="AD116" s="120"/>
      <c r="AE116" s="120"/>
      <c r="AF116" s="120"/>
      <c r="AG116" s="120"/>
      <c r="AH116" s="122"/>
      <c r="AI116" s="119"/>
    </row>
    <row r="117" spans="2:35" ht="13.5" customHeight="1">
      <c r="B117" s="15" t="s">
        <v>337</v>
      </c>
      <c r="C117" s="144"/>
      <c r="D117" s="118">
        <v>85.5</v>
      </c>
      <c r="E117" s="244" t="s">
        <v>636</v>
      </c>
      <c r="F117" s="142" t="s">
        <v>883</v>
      </c>
      <c r="G117" s="145"/>
      <c r="J117" s="119">
        <f t="shared" si="87"/>
        <v>0</v>
      </c>
      <c r="K117" s="214">
        <f t="shared" ref="K117" si="102">IF(L117=0,"No min",$J117/$L117)</f>
        <v>0</v>
      </c>
      <c r="L117" s="119">
        <f t="shared" si="99"/>
        <v>85.5</v>
      </c>
      <c r="M117" s="119">
        <f t="shared" si="100"/>
        <v>85.5</v>
      </c>
      <c r="N117" s="119">
        <f t="shared" si="101"/>
        <v>85.5</v>
      </c>
      <c r="O117" s="120" t="s">
        <v>745</v>
      </c>
      <c r="P117" s="119">
        <f>_xlfn.XLOOKUP(Rates!$O117,$J$6:$AI$6,J117:AI117)</f>
        <v>85.5</v>
      </c>
      <c r="Q117" s="120"/>
      <c r="R117" s="119"/>
      <c r="S117" s="120"/>
      <c r="T117" s="120"/>
      <c r="U117" s="120"/>
      <c r="V117" s="120"/>
      <c r="W117" s="120"/>
      <c r="X117" s="119">
        <v>85.5</v>
      </c>
      <c r="Y117" s="120"/>
      <c r="Z117" s="120"/>
      <c r="AA117" s="120"/>
      <c r="AB117" s="120"/>
      <c r="AC117" s="120"/>
      <c r="AD117" s="120"/>
      <c r="AE117" s="120"/>
      <c r="AF117" s="120"/>
      <c r="AG117" s="120"/>
      <c r="AH117" s="122"/>
      <c r="AI117" s="119"/>
    </row>
    <row r="118" spans="2:35" ht="12.5">
      <c r="B118" s="15" t="s">
        <v>335</v>
      </c>
      <c r="C118" s="144"/>
      <c r="D118" s="118">
        <v>1.5</v>
      </c>
      <c r="E118" s="244" t="s">
        <v>206</v>
      </c>
      <c r="F118" s="124"/>
      <c r="G118" s="145"/>
      <c r="J118" s="119">
        <f t="shared" si="87"/>
        <v>0</v>
      </c>
      <c r="K118" s="214">
        <f t="shared" ref="K118:K121" si="103">IF(L118=0,"No min",$J118/$L118)</f>
        <v>0</v>
      </c>
      <c r="L118" s="119">
        <f t="shared" si="99"/>
        <v>1.5</v>
      </c>
      <c r="M118" s="119">
        <f t="shared" si="100"/>
        <v>1.5</v>
      </c>
      <c r="N118" s="119">
        <f t="shared" si="101"/>
        <v>1.5</v>
      </c>
      <c r="O118" s="120" t="s">
        <v>756</v>
      </c>
      <c r="P118" s="119">
        <f>_xlfn.XLOOKUP(Rates!$O118,$J$6:$AI$6,J118:AI118)</f>
        <v>1.5</v>
      </c>
      <c r="Q118" s="120"/>
      <c r="R118" s="119"/>
      <c r="S118" s="120"/>
      <c r="T118" s="120"/>
      <c r="U118" s="120"/>
      <c r="V118" s="120"/>
      <c r="W118" s="120"/>
      <c r="X118" s="122"/>
      <c r="Y118" s="120"/>
      <c r="Z118" s="120"/>
      <c r="AA118" s="120"/>
      <c r="AB118" s="120"/>
      <c r="AC118" s="120"/>
      <c r="AD118" s="120"/>
      <c r="AE118" s="120"/>
      <c r="AF118" s="120"/>
      <c r="AG118" s="120"/>
      <c r="AH118" s="122"/>
      <c r="AI118" s="119">
        <v>1.5</v>
      </c>
    </row>
    <row r="119" spans="2:35" ht="12.5">
      <c r="B119" s="15" t="s">
        <v>341</v>
      </c>
      <c r="C119" s="144"/>
      <c r="D119" s="118">
        <v>27</v>
      </c>
      <c r="E119" s="244" t="s">
        <v>206</v>
      </c>
      <c r="F119" s="124"/>
      <c r="G119" s="145"/>
      <c r="J119" s="119">
        <f t="shared" si="87"/>
        <v>0</v>
      </c>
      <c r="K119" s="214">
        <f t="shared" si="103"/>
        <v>0</v>
      </c>
      <c r="L119" s="119">
        <f t="shared" si="99"/>
        <v>27</v>
      </c>
      <c r="M119" s="119">
        <f t="shared" si="100"/>
        <v>27</v>
      </c>
      <c r="N119" s="119">
        <f t="shared" si="101"/>
        <v>27</v>
      </c>
      <c r="O119" s="120" t="s">
        <v>756</v>
      </c>
      <c r="P119" s="119">
        <f>_xlfn.XLOOKUP(Rates!$O119,$J$6:$AI$6,J119:AI119)</f>
        <v>27</v>
      </c>
      <c r="Q119" s="120"/>
      <c r="R119" s="119"/>
      <c r="S119" s="120"/>
      <c r="T119" s="120"/>
      <c r="U119" s="120"/>
      <c r="V119" s="120"/>
      <c r="W119" s="120"/>
      <c r="X119" s="122"/>
      <c r="Y119" s="120"/>
      <c r="Z119" s="120"/>
      <c r="AA119" s="120"/>
      <c r="AB119" s="120"/>
      <c r="AC119" s="120"/>
      <c r="AD119" s="120"/>
      <c r="AE119" s="120"/>
      <c r="AF119" s="120"/>
      <c r="AG119" s="120"/>
      <c r="AH119" s="143"/>
      <c r="AI119" s="119">
        <v>27</v>
      </c>
    </row>
    <row r="120" spans="2:35" ht="12.5">
      <c r="B120" s="15" t="s">
        <v>466</v>
      </c>
      <c r="C120" s="144"/>
      <c r="D120" s="118">
        <v>250</v>
      </c>
      <c r="E120" s="244" t="s">
        <v>636</v>
      </c>
      <c r="F120" s="124"/>
      <c r="G120" s="145"/>
      <c r="J120" s="119">
        <f t="shared" si="87"/>
        <v>0</v>
      </c>
      <c r="K120" s="214">
        <f t="shared" si="103"/>
        <v>0</v>
      </c>
      <c r="L120" s="119">
        <f t="shared" si="99"/>
        <v>250</v>
      </c>
      <c r="M120" s="119">
        <f t="shared" si="100"/>
        <v>250</v>
      </c>
      <c r="N120" s="119">
        <f t="shared" si="101"/>
        <v>250</v>
      </c>
      <c r="O120" s="120" t="s">
        <v>756</v>
      </c>
      <c r="P120" s="119">
        <f>_xlfn.XLOOKUP(Rates!$O120,$J$6:$AI$6,J120:AI120)</f>
        <v>250</v>
      </c>
      <c r="Q120" s="120"/>
      <c r="R120" s="119"/>
      <c r="S120" s="120"/>
      <c r="T120" s="120"/>
      <c r="U120" s="120"/>
      <c r="V120" s="120"/>
      <c r="W120" s="120"/>
      <c r="X120" s="122"/>
      <c r="Y120" s="120"/>
      <c r="Z120" s="120"/>
      <c r="AA120" s="120"/>
      <c r="AB120" s="120"/>
      <c r="AC120" s="120"/>
      <c r="AD120" s="120"/>
      <c r="AE120" s="120"/>
      <c r="AF120" s="120"/>
      <c r="AG120" s="120"/>
      <c r="AH120" s="122"/>
      <c r="AI120" s="119">
        <v>250</v>
      </c>
    </row>
    <row r="121" spans="2:35" ht="12.5">
      <c r="B121" s="15" t="s">
        <v>884</v>
      </c>
      <c r="C121" s="144"/>
      <c r="D121" s="118">
        <v>0</v>
      </c>
      <c r="E121" s="244" t="s">
        <v>636</v>
      </c>
      <c r="F121" s="124"/>
      <c r="G121" s="145"/>
      <c r="J121" s="119">
        <f t="shared" si="87"/>
        <v>0</v>
      </c>
      <c r="K121" s="214" t="str">
        <f t="shared" si="103"/>
        <v>No min</v>
      </c>
      <c r="L121" s="119">
        <f t="shared" si="99"/>
        <v>0</v>
      </c>
      <c r="M121" s="119">
        <f t="shared" si="100"/>
        <v>0</v>
      </c>
      <c r="N121" s="119">
        <f t="shared" si="101"/>
        <v>0</v>
      </c>
      <c r="O121" s="120" t="s">
        <v>756</v>
      </c>
      <c r="P121" s="119">
        <f>_xlfn.XLOOKUP(Rates!$O121,$J$6:$AI$6,J121:AI121)</f>
        <v>0</v>
      </c>
      <c r="Q121" s="120"/>
      <c r="R121" s="119"/>
      <c r="S121" s="120"/>
      <c r="T121" s="120"/>
      <c r="U121" s="120"/>
      <c r="V121" s="120"/>
      <c r="W121" s="120"/>
      <c r="X121" s="122"/>
      <c r="Y121" s="120"/>
      <c r="Z121" s="120"/>
      <c r="AA121" s="120"/>
      <c r="AB121" s="120"/>
      <c r="AC121" s="120"/>
      <c r="AD121" s="120"/>
      <c r="AE121" s="120"/>
      <c r="AF121" s="120"/>
      <c r="AG121" s="120"/>
      <c r="AH121" s="122"/>
      <c r="AI121" s="119">
        <v>0</v>
      </c>
    </row>
    <row r="122" spans="2:35" ht="12.5">
      <c r="B122" s="15" t="s">
        <v>561</v>
      </c>
      <c r="C122" s="144"/>
      <c r="D122" s="118">
        <v>100</v>
      </c>
      <c r="E122" s="244" t="s">
        <v>537</v>
      </c>
      <c r="F122" s="124"/>
      <c r="G122" s="145"/>
      <c r="J122" s="119">
        <f t="shared" si="87"/>
        <v>0</v>
      </c>
      <c r="K122" s="214">
        <f t="shared" ref="K122:K123" si="104">IF(L122=0,"No min",$J122/$L122)</f>
        <v>0</v>
      </c>
      <c r="L122" s="119">
        <f t="shared" si="99"/>
        <v>100</v>
      </c>
      <c r="M122" s="119">
        <f t="shared" si="100"/>
        <v>100</v>
      </c>
      <c r="N122" s="119">
        <f t="shared" si="101"/>
        <v>100</v>
      </c>
      <c r="O122" s="120" t="s">
        <v>756</v>
      </c>
      <c r="P122" s="119">
        <f>_xlfn.XLOOKUP(Rates!$O122,$J$6:$AI$6,J122:AI122)</f>
        <v>100</v>
      </c>
      <c r="Q122" s="120"/>
      <c r="R122" s="119"/>
      <c r="S122" s="120"/>
      <c r="T122" s="120"/>
      <c r="U122" s="120"/>
      <c r="V122" s="120"/>
      <c r="W122" s="120"/>
      <c r="X122" s="122"/>
      <c r="Y122" s="120"/>
      <c r="Z122" s="120"/>
      <c r="AA122" s="120"/>
      <c r="AB122" s="120"/>
      <c r="AC122" s="120"/>
      <c r="AD122" s="120"/>
      <c r="AE122" s="120"/>
      <c r="AF122" s="120"/>
      <c r="AG122" s="120"/>
      <c r="AH122" s="122"/>
      <c r="AI122" s="119">
        <v>100</v>
      </c>
    </row>
    <row r="123" spans="2:35" ht="12.5">
      <c r="B123" s="15" t="s">
        <v>565</v>
      </c>
      <c r="C123" s="144"/>
      <c r="D123" s="118">
        <v>0</v>
      </c>
      <c r="E123" s="244" t="s">
        <v>537</v>
      </c>
      <c r="F123" s="124"/>
      <c r="G123" s="145"/>
      <c r="J123" s="119">
        <f t="shared" si="87"/>
        <v>0</v>
      </c>
      <c r="K123" s="214" t="str">
        <f t="shared" si="104"/>
        <v>No min</v>
      </c>
      <c r="L123" s="119">
        <f t="shared" si="99"/>
        <v>0</v>
      </c>
      <c r="M123" s="119">
        <f t="shared" si="100"/>
        <v>0</v>
      </c>
      <c r="N123" s="119">
        <f t="shared" si="101"/>
        <v>0</v>
      </c>
      <c r="O123" s="120" t="s">
        <v>756</v>
      </c>
      <c r="P123" s="119">
        <f>_xlfn.XLOOKUP(Rates!$O123,$J$6:$AI$6,J123:AI123)</f>
        <v>0</v>
      </c>
      <c r="Q123" s="120"/>
      <c r="R123" s="119"/>
      <c r="S123" s="120"/>
      <c r="T123" s="120"/>
      <c r="U123" s="120"/>
      <c r="V123" s="120"/>
      <c r="W123" s="120"/>
      <c r="X123" s="122"/>
      <c r="Y123" s="120"/>
      <c r="Z123" s="120"/>
      <c r="AA123" s="120"/>
      <c r="AB123" s="120"/>
      <c r="AC123" s="120"/>
      <c r="AD123" s="120"/>
      <c r="AE123" s="120"/>
      <c r="AF123" s="120"/>
      <c r="AG123" s="120"/>
      <c r="AH123" s="122"/>
      <c r="AI123" s="119">
        <v>0</v>
      </c>
    </row>
    <row r="124" spans="2:35" ht="13">
      <c r="B124" s="265" t="s">
        <v>885</v>
      </c>
      <c r="C124" s="99"/>
      <c r="AI124" s="385"/>
    </row>
    <row r="125" spans="2:35" ht="12.5">
      <c r="B125" s="15" t="s">
        <v>886</v>
      </c>
      <c r="C125" s="144"/>
      <c r="D125" s="118">
        <v>230</v>
      </c>
      <c r="E125" s="244" t="s">
        <v>445</v>
      </c>
      <c r="F125" s="124" t="s">
        <v>887</v>
      </c>
      <c r="G125" s="145"/>
      <c r="J125" s="119">
        <f t="shared" si="87"/>
        <v>0</v>
      </c>
      <c r="K125" s="214">
        <f t="shared" ref="K125:K127" si="105">IF(L125=0,"No min",$J125/$L125)</f>
        <v>0</v>
      </c>
      <c r="L125" s="119">
        <f t="shared" ref="L125" si="106">MIN(R125:AI125)</f>
        <v>230</v>
      </c>
      <c r="M125" s="119">
        <f t="shared" ref="M125" si="107">IFERROR(AVERAGE(R125:AI125),"One rate")</f>
        <v>230</v>
      </c>
      <c r="N125" s="119">
        <f t="shared" ref="N125" si="108">MAX(R125:AI125)</f>
        <v>230</v>
      </c>
      <c r="O125" s="120" t="s">
        <v>745</v>
      </c>
      <c r="P125" s="119">
        <f>_xlfn.XLOOKUP(Rates!$O125,$J$6:$AI$6,J125:AI125)</f>
        <v>230</v>
      </c>
      <c r="Q125" s="120"/>
      <c r="R125" s="119"/>
      <c r="S125" s="120"/>
      <c r="T125" s="120"/>
      <c r="U125" s="120"/>
      <c r="V125" s="120"/>
      <c r="W125" s="120"/>
      <c r="X125" s="119">
        <v>230</v>
      </c>
      <c r="Y125" s="120"/>
      <c r="Z125" s="120"/>
      <c r="AA125" s="120"/>
      <c r="AB125" s="120"/>
      <c r="AC125" s="120"/>
      <c r="AD125" s="120"/>
      <c r="AE125" s="120"/>
      <c r="AF125" s="120"/>
      <c r="AG125" s="120"/>
      <c r="AH125" s="120"/>
      <c r="AI125" s="119"/>
    </row>
    <row r="126" spans="2:35" ht="12.5">
      <c r="B126" s="15" t="s">
        <v>448</v>
      </c>
      <c r="C126" s="144"/>
      <c r="D126" s="118">
        <v>200</v>
      </c>
      <c r="E126" s="244" t="s">
        <v>445</v>
      </c>
      <c r="F126" s="124"/>
      <c r="G126" s="145"/>
      <c r="J126" s="119">
        <f t="shared" si="87"/>
        <v>0</v>
      </c>
      <c r="K126" s="214">
        <f t="shared" si="105"/>
        <v>0</v>
      </c>
      <c r="L126" s="119">
        <f t="shared" ref="L126:L127" si="109">MIN(R126:AI126)</f>
        <v>200</v>
      </c>
      <c r="M126" s="119">
        <f t="shared" ref="M126:M127" si="110">IFERROR(AVERAGE(R126:AI126),"One rate")</f>
        <v>200</v>
      </c>
      <c r="N126" s="119">
        <f t="shared" ref="N126:N127" si="111">MAX(R126:AI126)</f>
        <v>200</v>
      </c>
      <c r="O126" s="120" t="s">
        <v>756</v>
      </c>
      <c r="P126" s="119">
        <f>_xlfn.XLOOKUP(Rates!$O126,$J$6:$AI$6,J126:AI126)</f>
        <v>200</v>
      </c>
      <c r="Q126" s="120"/>
      <c r="R126" s="119"/>
      <c r="S126" s="120"/>
      <c r="T126" s="120"/>
      <c r="U126" s="120"/>
      <c r="V126" s="120"/>
      <c r="W126" s="120"/>
      <c r="X126" s="122"/>
      <c r="Y126" s="120"/>
      <c r="Z126" s="120"/>
      <c r="AA126" s="120"/>
      <c r="AB126" s="120"/>
      <c r="AC126" s="120"/>
      <c r="AD126" s="120"/>
      <c r="AE126" s="120"/>
      <c r="AF126" s="120"/>
      <c r="AG126" s="120"/>
      <c r="AH126" s="120"/>
      <c r="AI126" s="119">
        <v>200</v>
      </c>
    </row>
    <row r="127" spans="2:35" ht="13.5" customHeight="1">
      <c r="B127" s="15" t="s">
        <v>888</v>
      </c>
      <c r="C127" s="144"/>
      <c r="D127" s="118">
        <v>46.5</v>
      </c>
      <c r="E127" s="244" t="s">
        <v>445</v>
      </c>
      <c r="F127" s="142" t="s">
        <v>889</v>
      </c>
      <c r="G127" s="145"/>
      <c r="J127" s="119">
        <f t="shared" si="87"/>
        <v>0</v>
      </c>
      <c r="K127" s="214">
        <f t="shared" si="105"/>
        <v>0</v>
      </c>
      <c r="L127" s="119">
        <f t="shared" si="109"/>
        <v>46.5</v>
      </c>
      <c r="M127" s="119">
        <f t="shared" si="110"/>
        <v>46.5</v>
      </c>
      <c r="N127" s="119">
        <f t="shared" si="111"/>
        <v>46.5</v>
      </c>
      <c r="O127" s="120" t="s">
        <v>745</v>
      </c>
      <c r="P127" s="119">
        <f>_xlfn.XLOOKUP(Rates!$O127,$J$6:$AI$6,J127:AI127)</f>
        <v>46.5</v>
      </c>
      <c r="Q127" s="120"/>
      <c r="R127" s="119"/>
      <c r="S127" s="120"/>
      <c r="T127" s="120"/>
      <c r="U127" s="120"/>
      <c r="V127" s="120"/>
      <c r="W127" s="120"/>
      <c r="X127" s="122">
        <v>46.5</v>
      </c>
      <c r="Y127" s="120"/>
      <c r="Z127" s="120"/>
      <c r="AA127" s="120"/>
      <c r="AB127" s="120"/>
      <c r="AC127" s="120"/>
      <c r="AD127" s="120"/>
      <c r="AE127" s="120"/>
      <c r="AF127" s="120"/>
      <c r="AG127" s="120"/>
      <c r="AH127" s="122"/>
      <c r="AI127" s="119"/>
    </row>
  </sheetData>
  <sheetProtection algorithmName="SHA-512" hashValue="DavVV0RaNk25LhKPYPsdMo2g2HFX5sjqMKS6lpECmBH8jRkTzcm6CR9I+VJldWwCkc64EKHKqMEiNnzzhR3a6A==" saltValue="vD3CUlKF/CcQeTZH5PbOOw==" spinCount="100000" sheet="1" objects="1" scenarios="1" autoFilter="0"/>
  <phoneticPr fontId="8" type="noConversion"/>
  <conditionalFormatting sqref="P4">
    <cfRule type="cellIs" dxfId="0" priority="3" operator="equal">
      <formula>0</formula>
    </cfRule>
  </conditionalFormatting>
  <dataValidations count="5">
    <dataValidation type="custom" allowBlank="1" showInputMessage="1" showErrorMessage="1" error="Please enter a numeric value." sqref="C59:C78" xr:uid="{42B8ECC9-64E4-4E69-8DA8-0F36AF7571AC}">
      <formula1>ISNUMBER(C59:C187)</formula1>
    </dataValidation>
    <dataValidation type="custom" allowBlank="1" showInputMessage="1" showErrorMessage="1" error="Please enter a numeric value." sqref="C79:C90" xr:uid="{85A99115-4989-4D2C-BA81-97B5FF6651AC}">
      <formula1>ISNUMBER(C79:C208)</formula1>
    </dataValidation>
    <dataValidation type="custom" allowBlank="1" showInputMessage="1" showErrorMessage="1" error="Please enter a numeric value." sqref="C91:C127" xr:uid="{D359D6A1-7111-4F6B-8411-91EB0BAE638F}">
      <formula1>ISNUMBER(C91:C221)</formula1>
    </dataValidation>
    <dataValidation type="custom" allowBlank="1" showInputMessage="1" showErrorMessage="1" error="Please enter a numeric value." sqref="C9:C20" xr:uid="{CBF31246-D8A8-4906-B2CB-9D0C448120A7}">
      <formula1>ISNUMBER(C9:C127)</formula1>
    </dataValidation>
    <dataValidation type="custom" allowBlank="1" showInputMessage="1" showErrorMessage="1" error="Please enter a numeric value." sqref="C21:C58" xr:uid="{601FA209-1FF6-4713-ADFB-8B7B3BDC1700}">
      <formula1>ISNUMBER(C21:C140)</formula1>
    </dataValidation>
  </dataValidations>
  <hyperlinks>
    <hyperlink ref="B3" location="Information" display="Return to Information" xr:uid="{4DF339E6-B9AB-43C5-84B2-AD4FBCF8778F}"/>
    <hyperlink ref="F73" r:id="rId1" xr:uid="{4321517C-F5F0-4823-A1F4-3CF39C12A1FC}"/>
    <hyperlink ref="F109" r:id="rId2" display="https://srwra.com.au/media-downloads/gate-fees/Gate Fees 2025 - 2026.pdf" xr:uid="{D1E1DB4C-473F-4098-82FC-4D9D40C52FC1}"/>
    <hyperlink ref="F127" r:id="rId3" display="https://www.epa.sa.gov.au/business_and_industry/waste-levy" xr:uid="{91F78B50-5536-42C2-97E0-A3DA2B968584}"/>
    <hyperlink ref="F116" r:id="rId4" display="https://www.epa.sa.gov.au/business_and_industry/waste-levy" xr:uid="{BC58C882-9D32-4E17-B6AC-E19767D60BED}"/>
    <hyperlink ref="F117" r:id="rId5" display="https://www.epa.sa.gov.au/business_and_industry/waste-levy" xr:uid="{D6275484-5C7D-42C5-ADB9-E855AF1E6717}"/>
    <hyperlink ref="F79" r:id="rId6" xr:uid="{57B655DF-F0A7-4195-B205-713BDF54A30A}"/>
  </hyperlinks>
  <pageMargins left="0.7" right="0.7" top="0.75" bottom="0.75" header="0.3" footer="0.3"/>
  <pageSetup orientation="portrait" r:id="rId7"/>
  <extLst>
    <ext xmlns:x14="http://schemas.microsoft.com/office/spreadsheetml/2009/9/main" uri="{CCE6A557-97BC-4b89-ADB6-D9C93CAAB3DF}">
      <x14:dataValidations xmlns:xm="http://schemas.microsoft.com/office/excel/2006/main" count="1">
        <x14:dataValidation type="list" allowBlank="1" showInputMessage="1" showErrorMessage="1" xr:uid="{503F81D7-63D2-42B0-B36A-AD7B1CD9F662}">
          <x14:formula1>
            <xm:f>Lists!$B$79:$B$99</xm:f>
          </x14:formula1>
          <xm:sqref>O9:O127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A7B888FF612542A8FC6C9737B78FD6" ma:contentTypeVersion="14" ma:contentTypeDescription="Create a new document." ma:contentTypeScope="" ma:versionID="e22ef57c53abd2f7e474d8888be32dc8">
  <xsd:schema xmlns:xsd="http://www.w3.org/2001/XMLSchema" xmlns:xs="http://www.w3.org/2001/XMLSchema" xmlns:p="http://schemas.microsoft.com/office/2006/metadata/properties" xmlns:ns2="9048425d-5800-4620-a8df-cc3024e53cba" xmlns:ns3="af28d96c-c3b4-4d65-99e4-2d729c7617af" targetNamespace="http://schemas.microsoft.com/office/2006/metadata/properties" ma:root="true" ma:fieldsID="943891afe61fcd7f037e57ac8a97533d" ns2:_="" ns3:_="">
    <xsd:import namespace="9048425d-5800-4620-a8df-cc3024e53cba"/>
    <xsd:import namespace="af28d96c-c3b4-4d65-99e4-2d729c7617a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8425d-5800-4620-a8df-cc3024e53cb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228a5984-3648-4572-96ca-b85713c8a628}" ma:internalName="TaxCatchAll" ma:showField="CatchAllData" ma:web="9048425d-5800-4620-a8df-cc3024e53cba">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28d96c-c3b4-4d65-99e4-2d729c7617a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e4d4a1b-c417-4278-89c5-37eaff49a23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9048425d-5800-4620-a8df-cc3024e53cba">2H7WWT6C665R-569171364-544</_dlc_DocId>
    <_dlc_DocIdUrl xmlns="9048425d-5800-4620-a8df-cc3024e53cba">
      <Url>https://ehssupport.sharepoint.com/sites/storage/_layouts/15/DocIdRedir.aspx?ID=2H7WWT6C665R-569171364-544</Url>
      <Description>2H7WWT6C665R-569171364-544</Description>
    </_dlc_DocIdUrl>
    <TaxCatchAll xmlns="9048425d-5800-4620-a8df-cc3024e53cba" xsi:nil="true"/>
    <lcf76f155ced4ddcb4097134ff3c332f xmlns="af28d96c-c3b4-4d65-99e4-2d729c7617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EE3D778-6252-4AF6-A06E-1A7C8067E0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8425d-5800-4620-a8df-cc3024e53cba"/>
    <ds:schemaRef ds:uri="af28d96c-c3b4-4d65-99e4-2d729c761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033718-EB71-49E7-A3A2-86451763E99C}">
  <ds:schemaRefs>
    <ds:schemaRef ds:uri="http://www.w3.org/XML/1998/namespace"/>
    <ds:schemaRef ds:uri="af28d96c-c3b4-4d65-99e4-2d729c7617af"/>
    <ds:schemaRef ds:uri="http://schemas.microsoft.com/office/infopath/2007/PartnerControls"/>
    <ds:schemaRef ds:uri="http://schemas.microsoft.com/office/2006/documentManagement/types"/>
    <ds:schemaRef ds:uri="http://purl.org/dc/terms/"/>
    <ds:schemaRef ds:uri="9048425d-5800-4620-a8df-cc3024e53cba"/>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5001EB4A-387F-4C41-BC24-6CA044AA7B9E}">
  <ds:schemaRefs>
    <ds:schemaRef ds:uri="http://schemas.microsoft.com/sharepoint/v3/contenttype/forms"/>
  </ds:schemaRefs>
</ds:datastoreItem>
</file>

<file path=customXml/itemProps4.xml><?xml version="1.0" encoding="utf-8"?>
<ds:datastoreItem xmlns:ds="http://schemas.openxmlformats.org/officeDocument/2006/customXml" ds:itemID="{84C96539-B7D3-428D-B94D-02E42F799ADE}">
  <ds:schemaRefs>
    <ds:schemaRef ds:uri="http://schemas.microsoft.com/sharepoint/events"/>
  </ds:schemaRefs>
</ds:datastoreItem>
</file>

<file path=docMetadata/LabelInfo.xml><?xml version="1.0" encoding="utf-8"?>
<clbl:labelList xmlns:clbl="http://schemas.microsoft.com/office/2020/mipLabelMetadata">
  <clbl:label id="{072b9295-cb3f-462b-8aaa-a3f9988da704}" enabled="0" method="" siteId="{072b9295-cb3f-462b-8aaa-a3f9988da7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432</vt:i4>
      </vt:variant>
    </vt:vector>
  </HeadingPairs>
  <TitlesOfParts>
    <vt:vector size="448" baseType="lpstr">
      <vt:lpstr>Information</vt:lpstr>
      <vt:lpstr>User Guide</vt:lpstr>
      <vt:lpstr>Summary</vt:lpstr>
      <vt:lpstr>Solar</vt:lpstr>
      <vt:lpstr>Wind</vt:lpstr>
      <vt:lpstr>BESS</vt:lpstr>
      <vt:lpstr>Green Hydrogen</vt:lpstr>
      <vt:lpstr>Cost Schedule</vt:lpstr>
      <vt:lpstr>Rates</vt:lpstr>
      <vt:lpstr>Productivity</vt:lpstr>
      <vt:lpstr>Assumptions</vt:lpstr>
      <vt:lpstr>Panels</vt:lpstr>
      <vt:lpstr>Turbines</vt:lpstr>
      <vt:lpstr>Batteries</vt:lpstr>
      <vt:lpstr>Electrolysers</vt:lpstr>
      <vt:lpstr>Lists</vt:lpstr>
      <vt:lpstr>Admin_labour</vt:lpstr>
      <vt:lpstr>Admin_labour_rate</vt:lpstr>
      <vt:lpstr>Aluminium</vt:lpstr>
      <vt:lpstr>Ameliorants_app_rate</vt:lpstr>
      <vt:lpstr>Ameliorants_names</vt:lpstr>
      <vt:lpstr>Ameliorants_rates</vt:lpstr>
      <vt:lpstr>Ameliorants_rates_UR</vt:lpstr>
      <vt:lpstr>Ameliorants_soil_names_As</vt:lpstr>
      <vt:lpstr>Arid</vt:lpstr>
      <vt:lpstr>Asphalt_surface_cover</vt:lpstr>
      <vt:lpstr>Associate_Engineer_Geologist_Scientist</vt:lpstr>
      <vt:lpstr>Associate_Engineer_Geologist_Scientist_rate</vt:lpstr>
      <vt:lpstr>Assumptions</vt:lpstr>
      <vt:lpstr>Auditor_Director</vt:lpstr>
      <vt:lpstr>Auditor_Director_rate</vt:lpstr>
      <vt:lpstr>Backhoe_420F</vt:lpstr>
      <vt:lpstr>Backhoe_420F_rate</vt:lpstr>
      <vt:lpstr>Backhoe_attachments</vt:lpstr>
      <vt:lpstr>Backhoe_attachments_rate</vt:lpstr>
      <vt:lpstr>Electrolysers!Batteries</vt:lpstr>
      <vt:lpstr>Batteries</vt:lpstr>
      <vt:lpstr>BESS</vt:lpstr>
      <vt:lpstr>BESS_aluminium</vt:lpstr>
      <vt:lpstr>BESS_copper</vt:lpstr>
      <vt:lpstr>BESS_electronics</vt:lpstr>
      <vt:lpstr>BESS_fluids</vt:lpstr>
      <vt:lpstr>BESS_glass_etc</vt:lpstr>
      <vt:lpstr>BESS_headers</vt:lpstr>
      <vt:lpstr>BESS_LiFePO4_cells</vt:lpstr>
      <vt:lpstr>BESS_liquid</vt:lpstr>
      <vt:lpstr>BESS_mass</vt:lpstr>
      <vt:lpstr>BESS_models</vt:lpstr>
      <vt:lpstr>BESS_other</vt:lpstr>
      <vt:lpstr>BESS_plastics</vt:lpstr>
      <vt:lpstr>BESS_slab_footprint</vt:lpstr>
      <vt:lpstr>BESS_steel</vt:lpstr>
      <vt:lpstr>BESS_values</vt:lpstr>
      <vt:lpstr>Blades_haul_unload_distance_avg</vt:lpstr>
      <vt:lpstr>Blades_hub_haul_unload_names_UR</vt:lpstr>
      <vt:lpstr>Blades_hub_haul_unload_rates_UR</vt:lpstr>
      <vt:lpstr>Blades_hubs_per_truck</vt:lpstr>
      <vt:lpstr>Cable_drums_haul_unload_distance_avg</vt:lpstr>
      <vt:lpstr>Cable_drums_haul_unload_names_UR</vt:lpstr>
      <vt:lpstr>Cable_drums_haul_unload_rates_UR</vt:lpstr>
      <vt:lpstr>Cables_haul_unload_distance_avg</vt:lpstr>
      <vt:lpstr>Compactor_CP633E_Sheepsfoot</vt:lpstr>
      <vt:lpstr>Compactor_CP633E_Sheepsfoot_rate</vt:lpstr>
      <vt:lpstr>Concrete_break_rate</vt:lpstr>
      <vt:lpstr>Concrete_crush_30mm</vt:lpstr>
      <vt:lpstr>Concrete_crush_50mm</vt:lpstr>
      <vt:lpstr>Concrete_crush_75mm</vt:lpstr>
      <vt:lpstr>Concrete_crush_names_UR</vt:lpstr>
      <vt:lpstr>Concrete_crush_rates_UR</vt:lpstr>
      <vt:lpstr>Concrete_crush_to_30mm_rate</vt:lpstr>
      <vt:lpstr>Concrete_crush_to_50mm_rate</vt:lpstr>
      <vt:lpstr>Concrete_crush_to_75mm_rate</vt:lpstr>
      <vt:lpstr>Concrete_crushing_plant</vt:lpstr>
      <vt:lpstr>Concrete_crushing_plant_rate</vt:lpstr>
      <vt:lpstr>Concrete_default_thickness</vt:lpstr>
      <vt:lpstr>Concrete_density</vt:lpstr>
      <vt:lpstr>Concrete_disposal_distance</vt:lpstr>
      <vt:lpstr>Concrete_footing_Module</vt:lpstr>
      <vt:lpstr>Concrete_slab_thickness_Transformer</vt:lpstr>
      <vt:lpstr>Concrete_surface_cover_Building</vt:lpstr>
      <vt:lpstr>Concrete_surface_cover_Parking</vt:lpstr>
      <vt:lpstr>Concrete_truck_packing_factor</vt:lpstr>
      <vt:lpstr>Construction_labour</vt:lpstr>
      <vt:lpstr>Construction_labour_rate</vt:lpstr>
      <vt:lpstr>Contingency_percentage</vt:lpstr>
      <vt:lpstr>Copper</vt:lpstr>
      <vt:lpstr>Copper_cables_haul_unload_names_UR</vt:lpstr>
      <vt:lpstr>Copper_cables_haul_unload_rates_UR</vt:lpstr>
      <vt:lpstr>Cost_Schedule</vt:lpstr>
      <vt:lpstr>Crane_1000t</vt:lpstr>
      <vt:lpstr>Crane_1000t_rate</vt:lpstr>
      <vt:lpstr>Crane_120t</vt:lpstr>
      <vt:lpstr>Crane_120t_rate</vt:lpstr>
      <vt:lpstr>Crane_20t</vt:lpstr>
      <vt:lpstr>Crane_20t_rate</vt:lpstr>
      <vt:lpstr>Crane_500t</vt:lpstr>
      <vt:lpstr>Crane_500t_rate</vt:lpstr>
      <vt:lpstr>Crane_50t</vt:lpstr>
      <vt:lpstr>Crane_50t_rate</vt:lpstr>
      <vt:lpstr>Demolition_crew</vt:lpstr>
      <vt:lpstr>Demolition_crew_rate</vt:lpstr>
      <vt:lpstr>Disposal_gate_fee_Construction_Debris</vt:lpstr>
      <vt:lpstr>Disposal_gate_fee_Construction_Debris_rate</vt:lpstr>
      <vt:lpstr>Disposal_gate_fee_Low_level_solid_waste</vt:lpstr>
      <vt:lpstr>Disposal_gate_fee_Low_level_solid_waste_rate</vt:lpstr>
      <vt:lpstr>Disposal_gate_fee_names</vt:lpstr>
      <vt:lpstr>Disposal_gate_fee_oil_rate</vt:lpstr>
      <vt:lpstr>Disposal_gate_fee_oily_water</vt:lpstr>
      <vt:lpstr>Disposal_gate_fee_oily_water_rate</vt:lpstr>
      <vt:lpstr>Disposal_gate_fee_rates</vt:lpstr>
      <vt:lpstr>Disposal_gate_fee_Steel</vt:lpstr>
      <vt:lpstr>Distances_short</vt:lpstr>
      <vt:lpstr>Double_skin_tank</vt:lpstr>
      <vt:lpstr>Dozer_applied</vt:lpstr>
      <vt:lpstr>Dozer_average_values_P</vt:lpstr>
      <vt:lpstr>Dozer_D6R</vt:lpstr>
      <vt:lpstr>Dozer_D8R</vt:lpstr>
      <vt:lpstr>Dozer_D8R_rate</vt:lpstr>
      <vt:lpstr>Dozer_lengths_L</vt:lpstr>
      <vt:lpstr>Dozer_lengths_P</vt:lpstr>
      <vt:lpstr>Dozer_names_P</vt:lpstr>
      <vt:lpstr>Dozer_push_length_P</vt:lpstr>
      <vt:lpstr>Dozer_rip_time_P</vt:lpstr>
      <vt:lpstr>Dozer_values_P</vt:lpstr>
      <vt:lpstr>Draftsman_Technician</vt:lpstr>
      <vt:lpstr>Draftsman_Technician_rate</vt:lpstr>
      <vt:lpstr>Drums_per_truck</vt:lpstr>
      <vt:lpstr>Electrical_cable_material</vt:lpstr>
      <vt:lpstr>Electrical_cables_km_per_drum_Ass</vt:lpstr>
      <vt:lpstr>Electrical_cables_names_Ass</vt:lpstr>
      <vt:lpstr>Electrician</vt:lpstr>
      <vt:lpstr>Electrician_rate</vt:lpstr>
      <vt:lpstr>Electrolyser_20ft_containers</vt:lpstr>
      <vt:lpstr>Electrolyser_40ft_containers</vt:lpstr>
      <vt:lpstr>Electrolyser_capacity</vt:lpstr>
      <vt:lpstr>Electrolyser_liquids</vt:lpstr>
      <vt:lpstr>Electrolyser_models</vt:lpstr>
      <vt:lpstr>Electrolysers_water_consumption</vt:lpstr>
      <vt:lpstr>Excavator_20t</vt:lpstr>
      <vt:lpstr>Excavator_20t_grapple</vt:lpstr>
      <vt:lpstr>Excavator_20t_grapple_rate</vt:lpstr>
      <vt:lpstr>Excavator_20t_hammer</vt:lpstr>
      <vt:lpstr>Excavator_20t_hammer_rate</vt:lpstr>
      <vt:lpstr>Excavator_20t_rate</vt:lpstr>
      <vt:lpstr>Excavator_20t_shears</vt:lpstr>
      <vt:lpstr>Excavator_20t_shears_rate</vt:lpstr>
      <vt:lpstr>Excavator_40t</vt:lpstr>
      <vt:lpstr>Excavator_40t_grapple</vt:lpstr>
      <vt:lpstr>Excavator_40t_grapple_rate</vt:lpstr>
      <vt:lpstr>Excavator_40t_hammer</vt:lpstr>
      <vt:lpstr>Excavator_40t_hammer_rate</vt:lpstr>
      <vt:lpstr>Excavator_40t_rate</vt:lpstr>
      <vt:lpstr>Excavator_40t_shears</vt:lpstr>
      <vt:lpstr>Excavator_40t_shears_rate</vt:lpstr>
      <vt:lpstr>Excavator_74t</vt:lpstr>
      <vt:lpstr>Excavator_74t_grapple</vt:lpstr>
      <vt:lpstr>Excavator_74t_grapple_rate</vt:lpstr>
      <vt:lpstr>Excavator_74t_hammer</vt:lpstr>
      <vt:lpstr>Excavator_74t_hammer_rate</vt:lpstr>
      <vt:lpstr>Excavator_74t_rate</vt:lpstr>
      <vt:lpstr>Excavator_74t_shears</vt:lpstr>
      <vt:lpstr>Excavator_74t_shears_rate</vt:lpstr>
      <vt:lpstr>Excavator_Cut_Cladding</vt:lpstr>
      <vt:lpstr>Excavator_Cut_Pipe</vt:lpstr>
      <vt:lpstr>Excavator_Cut_Steel_Plate</vt:lpstr>
      <vt:lpstr>Excavator_PC_1900</vt:lpstr>
      <vt:lpstr>Excavator_PC_1900_rate</vt:lpstr>
      <vt:lpstr>Explosives_for_wind_turbine_collapse</vt:lpstr>
      <vt:lpstr>Explosives_wind_turbine_collapse_rate</vt:lpstr>
      <vt:lpstr>Fertiliser_app_rate</vt:lpstr>
      <vt:lpstr>Fertiliser_Ass</vt:lpstr>
      <vt:lpstr>Fertiliser_names</vt:lpstr>
      <vt:lpstr>Fertiliser_native</vt:lpstr>
      <vt:lpstr>Fertiliser_native_app_rate</vt:lpstr>
      <vt:lpstr>Fertiliser_native_rate</vt:lpstr>
      <vt:lpstr>Fertiliser_pasture</vt:lpstr>
      <vt:lpstr>Fertiliser_pasture_app_rate</vt:lpstr>
      <vt:lpstr>Fertiliser_pasture_rate</vt:lpstr>
      <vt:lpstr>Fertiliser_rates</vt:lpstr>
      <vt:lpstr>Foreperson</vt:lpstr>
      <vt:lpstr>Foreperson_rate</vt:lpstr>
      <vt:lpstr>Foundation_bolts_per_m2</vt:lpstr>
      <vt:lpstr>Foundation_demolition_large_rate</vt:lpstr>
      <vt:lpstr>Foundation_demolition_small_rate</vt:lpstr>
      <vt:lpstr>Fuel_tanker</vt:lpstr>
      <vt:lpstr>Fuel_tanker_rate</vt:lpstr>
      <vt:lpstr>Gas_Axe</vt:lpstr>
      <vt:lpstr>Gas_Axe_rate</vt:lpstr>
      <vt:lpstr>Grader_12M</vt:lpstr>
      <vt:lpstr>Grader_12M_rate</vt:lpstr>
      <vt:lpstr>Grader_14M</vt:lpstr>
      <vt:lpstr>Grader_14M_rate</vt:lpstr>
      <vt:lpstr>Gravel_rock_track_road_cover_thickness</vt:lpstr>
      <vt:lpstr>Gravel_surface_cover</vt:lpstr>
      <vt:lpstr>GREEN_HYDROGEN</vt:lpstr>
      <vt:lpstr>Growth_media_thickness</vt:lpstr>
      <vt:lpstr>Gypsum</vt:lpstr>
      <vt:lpstr>Gypsum_rate</vt:lpstr>
      <vt:lpstr>Handcast</vt:lpstr>
      <vt:lpstr>Handcast_Native_seed_rate_UR</vt:lpstr>
      <vt:lpstr>Handcast_Pasture_seed_rate_UR</vt:lpstr>
      <vt:lpstr>HDPE_Welder</vt:lpstr>
      <vt:lpstr>HDPE_Welder_rate</vt:lpstr>
      <vt:lpstr>Health_and_Safety_Lead</vt:lpstr>
      <vt:lpstr>Health_and_Safety_Lead_rate</vt:lpstr>
      <vt:lpstr>Hours_per_day</vt:lpstr>
      <vt:lpstr>Hydro_rig</vt:lpstr>
      <vt:lpstr>Hydro_rig_rate</vt:lpstr>
      <vt:lpstr>Hydromulching_BFM_productivity</vt:lpstr>
      <vt:lpstr>Hydromulching_BGM_productivity</vt:lpstr>
      <vt:lpstr>Hydromulching_FRM_productivity</vt:lpstr>
      <vt:lpstr>Hydroseeding_productivity</vt:lpstr>
      <vt:lpstr>Information</vt:lpstr>
      <vt:lpstr>Junior_Engineer_Geologist_Scientist</vt:lpstr>
      <vt:lpstr>Junior_Engineer_Geologist_Scientist_rate</vt:lpstr>
      <vt:lpstr>kilograms_in_tonnes</vt:lpstr>
      <vt:lpstr>Kilolitres_in_megalitres</vt:lpstr>
      <vt:lpstr>Labour_General</vt:lpstr>
      <vt:lpstr>Labour_General_rate</vt:lpstr>
      <vt:lpstr>Large_turbine</vt:lpstr>
      <vt:lpstr>Lime</vt:lpstr>
      <vt:lpstr>Lime_rate</vt:lpstr>
      <vt:lpstr>Liquid_waste_disposal_distance</vt:lpstr>
      <vt:lpstr>Litres_in_kilolitres</vt:lpstr>
      <vt:lpstr>Load_haul_dump_concrete_onsite_names_UR</vt:lpstr>
      <vt:lpstr>Load_haul_dump_concrete_onsite_rates_UR</vt:lpstr>
      <vt:lpstr>Load_haul_dump_growth_media_distance_avg</vt:lpstr>
      <vt:lpstr>Load_haul_dump_growth_media_onsite_names_UR</vt:lpstr>
      <vt:lpstr>Load_haul_dump_growth_media_onsite_rates_UR</vt:lpstr>
      <vt:lpstr>Load_haul_dump_modules_distance_avg</vt:lpstr>
      <vt:lpstr>Load_haul_dump_oil_distance_avg</vt:lpstr>
      <vt:lpstr>Load_haul_dump_rubble_distance_avg</vt:lpstr>
      <vt:lpstr>Load_haul_dump_soil_ameliorants_from_off_site_names_UR</vt:lpstr>
      <vt:lpstr>Load_haul_dump_soil_ameliorants_from_off_site_rates_UR</vt:lpstr>
      <vt:lpstr>Load_haul_dump_steel_distance_avg</vt:lpstr>
      <vt:lpstr>Load_haul_names_L</vt:lpstr>
      <vt:lpstr>Loader_980M</vt:lpstr>
      <vt:lpstr>Loader_980M_rate</vt:lpstr>
      <vt:lpstr>Long_haul_distance_average_L</vt:lpstr>
      <vt:lpstr>Long_haul_distance_names_L</vt:lpstr>
      <vt:lpstr>Long_haul_names_concrete_UR</vt:lpstr>
      <vt:lpstr>Long_haul_names_modules_UR</vt:lpstr>
      <vt:lpstr>Long_haul_names_oil_UR</vt:lpstr>
      <vt:lpstr>Long_haul_names_steel_UR</vt:lpstr>
      <vt:lpstr>Long_haul_rates_ameliorants_UR</vt:lpstr>
      <vt:lpstr>Long_haul_rates_concrete_UR</vt:lpstr>
      <vt:lpstr>Long_haul_rates_modules_UR</vt:lpstr>
      <vt:lpstr>Long_haul_rates_oil_UR</vt:lpstr>
      <vt:lpstr>Long_haul_rates_steel_UR</vt:lpstr>
      <vt:lpstr>Materials_list</vt:lpstr>
      <vt:lpstr>Mechanical_Fitter</vt:lpstr>
      <vt:lpstr>Mechanical_Fitter_rate</vt:lpstr>
      <vt:lpstr>Metres_in_kilometres</vt:lpstr>
      <vt:lpstr>Metres_min_in_kilometres_hour</vt:lpstr>
      <vt:lpstr>Millimetres_in_metres</vt:lpstr>
      <vt:lpstr>Minutes_in_hour</vt:lpstr>
      <vt:lpstr>Mobe_names_BESS_CS</vt:lpstr>
      <vt:lpstr>Mobe_names_electrical_CS</vt:lpstr>
      <vt:lpstr>Mobe_names_land_CS</vt:lpstr>
      <vt:lpstr>Mobe_names_solar_CS</vt:lpstr>
      <vt:lpstr>Mobe_names_wind_CS</vt:lpstr>
      <vt:lpstr>Mobe_rates_BESS_CS</vt:lpstr>
      <vt:lpstr>Mobe_rates_electrical_CS</vt:lpstr>
      <vt:lpstr>Mobe_rates_land_CS</vt:lpstr>
      <vt:lpstr>Mobe_rates_solar_CS</vt:lpstr>
      <vt:lpstr>Mobe_rates_wind_CS</vt:lpstr>
      <vt:lpstr>Nacelles_haul_unload_distance_avg</vt:lpstr>
      <vt:lpstr>Nacelles_haul_unload_names_UR</vt:lpstr>
      <vt:lpstr>Nacelles_haul_unload_rates_UR</vt:lpstr>
      <vt:lpstr>Nacelles_per_truck</vt:lpstr>
      <vt:lpstr>Native</vt:lpstr>
      <vt:lpstr>Native_seed</vt:lpstr>
      <vt:lpstr>Native_seed_rate</vt:lpstr>
      <vt:lpstr>Number_of_steel_bolts_per_m2_foundation_coefficient_1</vt:lpstr>
      <vt:lpstr>Number_of_steel_bolts_per_m2_foundation_coefficient_2</vt:lpstr>
      <vt:lpstr>Oil_recycle</vt:lpstr>
      <vt:lpstr>Oil_recycle_rate</vt:lpstr>
      <vt:lpstr>Ongoing_monitoring_percentage</vt:lpstr>
      <vt:lpstr>Panels</vt:lpstr>
      <vt:lpstr>Panels_haul_unload_distance_avg</vt:lpstr>
      <vt:lpstr>Panels_haul_unload_names_UR</vt:lpstr>
      <vt:lpstr>Panels_haul_unload_rates_UR</vt:lpstr>
      <vt:lpstr>Panels_headers</vt:lpstr>
      <vt:lpstr>Panels_models</vt:lpstr>
      <vt:lpstr>Panels_units</vt:lpstr>
      <vt:lpstr>Panels_values</vt:lpstr>
      <vt:lpstr>Panhandler</vt:lpstr>
      <vt:lpstr>Panhandler_rate</vt:lpstr>
      <vt:lpstr>Pasture</vt:lpstr>
      <vt:lpstr>Pasture_seed</vt:lpstr>
      <vt:lpstr>Pasture_seed_rate</vt:lpstr>
      <vt:lpstr>Plant</vt:lpstr>
      <vt:lpstr>Plant_and_seed_app_rate</vt:lpstr>
      <vt:lpstr>Plant_and_seed_names_Ass</vt:lpstr>
      <vt:lpstr>Plant_and_seed_names_R</vt:lpstr>
      <vt:lpstr>Principal_Engineer_Geologist_Scientist</vt:lpstr>
      <vt:lpstr>Principal_Engineer_Geologist_Scientist_rate</vt:lpstr>
      <vt:lpstr>Productivity</vt:lpstr>
      <vt:lpstr>Project_management_percentage</vt:lpstr>
      <vt:lpstr>Project_Manager</vt:lpstr>
      <vt:lpstr>Project_Manager_rate</vt:lpstr>
      <vt:lpstr>Project_Name</vt:lpstr>
      <vt:lpstr>Pump_4_inch_dewater_with_hoses</vt:lpstr>
      <vt:lpstr>Pump_4_inch_dewater_with_hoses_rate</vt:lpstr>
      <vt:lpstr>Pump_Truck_Tanker</vt:lpstr>
      <vt:lpstr>Pump_Truck_Tanker_rate</vt:lpstr>
      <vt:lpstr>Rate_unit</vt:lpstr>
      <vt:lpstr>Rates</vt:lpstr>
      <vt:lpstr>Rates_name</vt:lpstr>
      <vt:lpstr>Reporting_documentation_names_UR</vt:lpstr>
      <vt:lpstr>Reporting_documentation_rates_UR</vt:lpstr>
      <vt:lpstr>Revegetation_names_UR</vt:lpstr>
      <vt:lpstr>Revegetation_rates_UR</vt:lpstr>
      <vt:lpstr>Rigger</vt:lpstr>
      <vt:lpstr>Rigger_rate</vt:lpstr>
      <vt:lpstr>Roads_tracks_laydown_list_UR</vt:lpstr>
      <vt:lpstr>Scrap_aluminium_and_alloy</vt:lpstr>
      <vt:lpstr>Scrap_aluminium_and_alloy_rate</vt:lpstr>
      <vt:lpstr>Scrap_copper_and_alloy</vt:lpstr>
      <vt:lpstr>Scrap_copper_and_alloy_rate</vt:lpstr>
      <vt:lpstr>Scrap_glass</vt:lpstr>
      <vt:lpstr>Scrap_glass_rate</vt:lpstr>
      <vt:lpstr>Scrap_silver</vt:lpstr>
      <vt:lpstr>Scrap_silver_rate</vt:lpstr>
      <vt:lpstr>Scrap_stainless_steel</vt:lpstr>
      <vt:lpstr>Scrap_stainless_steel_rate</vt:lpstr>
      <vt:lpstr>Scrap_steel</vt:lpstr>
      <vt:lpstr>Scrap_steel_rate</vt:lpstr>
      <vt:lpstr>Scrapyard_distance</vt:lpstr>
      <vt:lpstr>Seed_and_plant_rates</vt:lpstr>
      <vt:lpstr>Semi_tipper_max_mass</vt:lpstr>
      <vt:lpstr>Semi_tipper_max_volume</vt:lpstr>
      <vt:lpstr>Semi_tipper_maximum_volume___concrete</vt:lpstr>
      <vt:lpstr>Senior_Principal_Engineer_Geologist_Scientist</vt:lpstr>
      <vt:lpstr>Senior_Principal_Engineer_Geologist_Scientist_rate</vt:lpstr>
      <vt:lpstr>Single_skin_tank</vt:lpstr>
      <vt:lpstr>Sludge_density</vt:lpstr>
      <vt:lpstr>Small_turbine</vt:lpstr>
      <vt:lpstr>Soil_density</vt:lpstr>
      <vt:lpstr>SOLAR</vt:lpstr>
      <vt:lpstr>Solar_panels_per_truck</vt:lpstr>
      <vt:lpstr>Specific_mass_50mm_steel_pipe</vt:lpstr>
      <vt:lpstr>Specific_mass_of_structural_steel_columns</vt:lpstr>
      <vt:lpstr>Specific_mass_of_structural_steel_cross_beams</vt:lpstr>
      <vt:lpstr>Spray</vt:lpstr>
      <vt:lpstr>Spread_ameliorants_rate</vt:lpstr>
      <vt:lpstr>Square_metres_in_hectare</vt:lpstr>
      <vt:lpstr>Steel_cable_cut_rate_excavator</vt:lpstr>
      <vt:lpstr>Steel_density</vt:lpstr>
      <vt:lpstr>Steel_disposal_distance</vt:lpstr>
      <vt:lpstr>Steel_floor</vt:lpstr>
      <vt:lpstr>Steel_roof</vt:lpstr>
      <vt:lpstr>Steel_roof_specific_mass</vt:lpstr>
      <vt:lpstr>Steel_wall</vt:lpstr>
      <vt:lpstr>Storage_general_distance</vt:lpstr>
      <vt:lpstr>Substation_rates_UR</vt:lpstr>
      <vt:lpstr>Substation_sizes_UR</vt:lpstr>
      <vt:lpstr>SUMMARY</vt:lpstr>
      <vt:lpstr>Summary_BESS</vt:lpstr>
      <vt:lpstr>Summary_green_H2</vt:lpstr>
      <vt:lpstr>Summary_Solar</vt:lpstr>
      <vt:lpstr>Summary_wind</vt:lpstr>
      <vt:lpstr>Surface_cover_list</vt:lpstr>
      <vt:lpstr>Tank_base_type</vt:lpstr>
      <vt:lpstr>Tank_cladding_type</vt:lpstr>
      <vt:lpstr>Tank_concrete_ring_L</vt:lpstr>
      <vt:lpstr>Tank_hopper_L</vt:lpstr>
      <vt:lpstr>Tank_hor_frac_L</vt:lpstr>
      <vt:lpstr>Tank_horizontal_L</vt:lpstr>
      <vt:lpstr>Tank_liner_type</vt:lpstr>
      <vt:lpstr>Tank_panel_L</vt:lpstr>
      <vt:lpstr>Tank_rail_loading_bin_L</vt:lpstr>
      <vt:lpstr>Tank_rainwater_L</vt:lpstr>
      <vt:lpstr>Tank_silo_L</vt:lpstr>
      <vt:lpstr>Tank_skin_type</vt:lpstr>
      <vt:lpstr>Tank_thickening_L</vt:lpstr>
      <vt:lpstr>Tank_top_type</vt:lpstr>
      <vt:lpstr>Tank_type</vt:lpstr>
      <vt:lpstr>Tank_vertical_L</vt:lpstr>
      <vt:lpstr>Tank_wall_type</vt:lpstr>
      <vt:lpstr>Tanker_capacity</vt:lpstr>
      <vt:lpstr>Tanker_liquids_pump_flowrate_oil</vt:lpstr>
      <vt:lpstr>Tanker_liquids_pump_flowrate_water</vt:lpstr>
      <vt:lpstr>Top_soil</vt:lpstr>
      <vt:lpstr>Top_soil_rate</vt:lpstr>
      <vt:lpstr>Towers_per_truck</vt:lpstr>
      <vt:lpstr>Tracks_roads_width_names_Ass</vt:lpstr>
      <vt:lpstr>Tracks_roads_widths_Ass</vt:lpstr>
      <vt:lpstr>Trees_mature</vt:lpstr>
      <vt:lpstr>Trees_mature_rate</vt:lpstr>
      <vt:lpstr>Truck_740C</vt:lpstr>
      <vt:lpstr>Truck_740C_rate</vt:lpstr>
      <vt:lpstr>Truck_flatbed</vt:lpstr>
      <vt:lpstr>Truck_flatbed_rate</vt:lpstr>
      <vt:lpstr>Truck_Haul_Speed_Loaded</vt:lpstr>
      <vt:lpstr>Truck_Haul_Speed_Unloaded</vt:lpstr>
      <vt:lpstr>Truck_module_transport</vt:lpstr>
      <vt:lpstr>Truck_module_transport_rate</vt:lpstr>
      <vt:lpstr>Truck_semi_tipper</vt:lpstr>
      <vt:lpstr>Truck_semi_tipper_rate</vt:lpstr>
      <vt:lpstr>Truck_travel_speed_on_site_loaded</vt:lpstr>
      <vt:lpstr>Truck_travel_speed_on_site_unloaded</vt:lpstr>
      <vt:lpstr>Truck_vacuum_tanker</vt:lpstr>
      <vt:lpstr>Truck_vacuum_tanker_rate</vt:lpstr>
      <vt:lpstr>Truck_water_load</vt:lpstr>
      <vt:lpstr>Truck_water_tanker_19kL</vt:lpstr>
      <vt:lpstr>Truck_water_tanker_19kL_rate</vt:lpstr>
      <vt:lpstr>Truck_with_crane</vt:lpstr>
      <vt:lpstr>Truck_with_crane_rate</vt:lpstr>
      <vt:lpstr>Tube_stock</vt:lpstr>
      <vt:lpstr>Tube_stock_rate</vt:lpstr>
      <vt:lpstr>Turbine_aluminium</vt:lpstr>
      <vt:lpstr>Turbine_blade_length</vt:lpstr>
      <vt:lpstr>Turbine_blade_mass</vt:lpstr>
      <vt:lpstr>Turbine_bolts</vt:lpstr>
      <vt:lpstr>Turbine_copper</vt:lpstr>
      <vt:lpstr>Turbine_foundation_area</vt:lpstr>
      <vt:lpstr>Turbine_foundation_mass</vt:lpstr>
      <vt:lpstr>Turbine_foundation_thickness</vt:lpstr>
      <vt:lpstr>Turbine_foundation_volume</vt:lpstr>
      <vt:lpstr>Turbine_gearbox_oil_volume</vt:lpstr>
      <vt:lpstr>Turbine_mass</vt:lpstr>
      <vt:lpstr>Turbine_models</vt:lpstr>
      <vt:lpstr>Turbine_nacelle_mass</vt:lpstr>
      <vt:lpstr>Turbine_steel_iron</vt:lpstr>
      <vt:lpstr>Turbine_tower_height</vt:lpstr>
      <vt:lpstr>Turbine_tower_mass</vt:lpstr>
      <vt:lpstr>Turbines</vt:lpstr>
      <vt:lpstr>USER_GUIDE</vt:lpstr>
      <vt:lpstr>Vehicle_Hire</vt:lpstr>
      <vt:lpstr>Vehicle_Hire_rate</vt:lpstr>
      <vt:lpstr>Waste_levy_Metropolitan_Solid_Waste</vt:lpstr>
      <vt:lpstr>Waste_levy_Metropolitan_Solid_Waste_rate</vt:lpstr>
      <vt:lpstr>Waste_levy_names</vt:lpstr>
      <vt:lpstr>Waste_levy_Non_Metropolitan_Solid_Waste</vt:lpstr>
      <vt:lpstr>Waste_levy_Non_Metropolitan_Solid_Waste_rate</vt:lpstr>
      <vt:lpstr>Waste_levy_rates</vt:lpstr>
      <vt:lpstr>Water</vt:lpstr>
      <vt:lpstr>Water_demand_greenH2</vt:lpstr>
      <vt:lpstr>Water_rate</vt:lpstr>
      <vt:lpstr>Winch_for_cables</vt:lpstr>
      <vt:lpstr>Winch_for_cables_rate</vt:lpstr>
      <vt:lpstr>WIND</vt:lpstr>
      <vt:lpstr>wind_trubine_truck_rate</vt:lpstr>
      <vt:lpstr>Wind_turbine_tools</vt:lpstr>
      <vt:lpstr>Wind_turbine_tools_rate</vt:lpstr>
      <vt:lpstr>Work_Platform</vt:lpstr>
      <vt:lpstr>Work_Platform_rate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Keira Gopsill</dc:creator>
  <cp:keywords/>
  <dc:description/>
  <cp:lastModifiedBy>Kevin Simpson</cp:lastModifiedBy>
  <cp:revision/>
  <dcterms:created xsi:type="dcterms:W3CDTF">2025-07-08T00:32:05Z</dcterms:created>
  <dcterms:modified xsi:type="dcterms:W3CDTF">2026-09-04T06:28:08Z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0x01010036A7B888FF612542A8FC6C9737B78FD6</vt:lpwstr>
  </property>
  <property fmtid="{D5CDD505-2E9C-101B-9397-08002B2CF9AE}" pid="4" name="_dlc_DocIdItemGuid">
    <vt:lpwstr>e02c7560-fbc7-41b3-a55f-c54ed79eac57</vt:lpwstr>
  </property>
</Properties>
</file>