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M:\MER_Publishing\Job_nos_current\205919_Broch133_Collaborative Air Quality Guideline for the Mining Industry\client data\"/>
    </mc:Choice>
  </mc:AlternateContent>
  <xr:revisionPtr revIDLastSave="0" documentId="13_ncr:1_{3A3DAEAC-4934-45CE-9A86-3C4F199AD616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PreSAT" sheetId="2" r:id="rId1"/>
  </sheets>
  <externalReferences>
    <externalReference r:id="rId2"/>
  </externalReferences>
  <definedNames>
    <definedName name="mycolor">IF(GET.CELL(38,'[1]SA proposed RA'!$D$4)=1,'[1]SA proposed RA'!$G$2,IF(GET.CELL(38,'[1]SA proposed RA'!$D$4)=2,'[1]SA proposed RA'!$G$3,'[1]SA proposed RA'!$G$4))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2" l="1"/>
  <c r="G10" i="2"/>
  <c r="H10" i="2"/>
  <c r="I10" i="2"/>
  <c r="E9" i="2"/>
  <c r="F9" i="2"/>
  <c r="G9" i="2"/>
  <c r="H9" i="2"/>
  <c r="I9" i="2"/>
  <c r="G11" i="2"/>
  <c r="H11" i="2"/>
  <c r="I11" i="2"/>
  <c r="H12" i="2"/>
  <c r="I12" i="2"/>
  <c r="I13" i="2"/>
  <c r="D16" i="2"/>
  <c r="E16" i="2"/>
  <c r="F16" i="2"/>
  <c r="G16" i="2"/>
  <c r="H16" i="2"/>
  <c r="I16" i="2"/>
  <c r="E17" i="2"/>
  <c r="F17" i="2"/>
  <c r="G17" i="2"/>
  <c r="H17" i="2"/>
  <c r="I17" i="2"/>
  <c r="F18" i="2"/>
  <c r="G18" i="2"/>
  <c r="H18" i="2"/>
  <c r="I18" i="2"/>
  <c r="G19" i="2"/>
  <c r="H19" i="2"/>
  <c r="I19" i="2"/>
  <c r="H20" i="2"/>
  <c r="I20" i="2"/>
  <c r="D4" i="2" l="1"/>
  <c r="B5" i="2" s="1"/>
</calcChain>
</file>

<file path=xl/sharedStrings.xml><?xml version="1.0" encoding="utf-8"?>
<sst xmlns="http://schemas.openxmlformats.org/spreadsheetml/2006/main" count="37" uniqueCount="29">
  <si>
    <t>1500-5000</t>
  </si>
  <si>
    <t>1000-1500</t>
  </si>
  <si>
    <t>750-1000</t>
  </si>
  <si>
    <t>500-750</t>
  </si>
  <si>
    <t>&lt;500</t>
  </si>
  <si>
    <t>750-1500</t>
  </si>
  <si>
    <t>250-500</t>
  </si>
  <si>
    <t>&lt;250</t>
  </si>
  <si>
    <t>&gt; 500 / &gt; 2000</t>
  </si>
  <si>
    <t>150-500 / 500-2000</t>
  </si>
  <si>
    <t>30-150 / 200-500</t>
  </si>
  <si>
    <t>15-30 / 100-200</t>
  </si>
  <si>
    <t>5-15 / 50-100</t>
  </si>
  <si>
    <t xml:space="preserve">&lt; 5 / &lt; 50 </t>
  </si>
  <si>
    <t>Nearest Urban Area / Town</t>
  </si>
  <si>
    <t>Nearest Rural Neighbour</t>
  </si>
  <si>
    <t>4. Disturbed footprint (ha)</t>
  </si>
  <si>
    <t>3. Annual  production (kT)</t>
  </si>
  <si>
    <t>2. Distances to nearest exposed sensitive receptor (m)</t>
  </si>
  <si>
    <t>1. Distance to urban boundary (m)</t>
  </si>
  <si>
    <t>Level 3</t>
  </si>
  <si>
    <t>Air impact assessment required</t>
  </si>
  <si>
    <t>Level 2</t>
  </si>
  <si>
    <t>Air Quality Preliminary Screening Assessment Tool</t>
  </si>
  <si>
    <t>Level 1</t>
  </si>
  <si>
    <t>&lt;insert header here&gt;</t>
  </si>
  <si>
    <t>Insert inputs above to calculate level of air impact assessment required</t>
  </si>
  <si>
    <r>
      <t xml:space="preserve">Refer to </t>
    </r>
    <r>
      <rPr>
        <i/>
        <sz val="11"/>
        <rFont val="Calibri"/>
        <family val="2"/>
        <scheme val="minor"/>
      </rPr>
      <t>Mineral Regulatory Guidelines MG42: Air quality assessment and monitoring</t>
    </r>
    <r>
      <rPr>
        <sz val="11"/>
        <rFont val="Calibri"/>
        <family val="2"/>
        <scheme val="minor"/>
      </rPr>
      <t xml:space="preserve"> for further information.</t>
    </r>
  </si>
  <si>
    <t>https://sarigbasis.pir.sa.gov.au/WebtopEw/ws/samref/sarig1/image/DDD/MRGMG42.pdf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</si>
</sst>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theme="0" tint="-0.249977111117893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Fill="1"/>
    <xf numFmtId="0" fontId="0" fillId="0" borderId="0" xfId="0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right" wrapText="1"/>
    </xf>
    <xf numFmtId="0" fontId="0" fillId="0" borderId="0" xfId="0" applyFill="1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0" borderId="0" xfId="0" applyFont="1"/>
    <xf numFmtId="0" fontId="2" fillId="0" borderId="0" xfId="0" applyFont="1"/>
    <xf numFmtId="0" fontId="3" fillId="5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/>
    </xf>
    <xf numFmtId="0" fontId="0" fillId="0" borderId="4" xfId="0" applyBorder="1" applyAlignment="1">
      <alignment horizontal="right"/>
    </xf>
    <xf numFmtId="0" fontId="1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5" borderId="7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left" wrapText="1"/>
    </xf>
    <xf numFmtId="0" fontId="4" fillId="6" borderId="6" xfId="0" applyFont="1" applyFill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Fill="1"/>
    <xf numFmtId="0" fontId="0" fillId="0" borderId="0" xfId="0" applyAlignment="1">
      <alignment horizontal="right" wrapText="1"/>
    </xf>
    <xf numFmtId="0" fontId="0" fillId="0" borderId="0" xfId="0" applyAlignment="1">
      <alignment horizontal="left" wrapText="1"/>
    </xf>
    <xf numFmtId="0" fontId="0" fillId="0" borderId="0" xfId="0"/>
    <xf numFmtId="0" fontId="2" fillId="0" borderId="0" xfId="0" applyFont="1" applyAlignment="1">
      <alignment horizontal="left"/>
    </xf>
    <xf numFmtId="0" fontId="6" fillId="0" borderId="0" xfId="0" applyFont="1" applyAlignment="1">
      <alignment wrapText="1"/>
    </xf>
    <xf numFmtId="0" fontId="7" fillId="0" borderId="0" xfId="1"/>
  </cellXfs>
  <cellStyles count="2">
    <cellStyle name="Hyperlink" xfId="1" builtinId="8"/>
    <cellStyle name="Normal" xfId="0" builtinId="0"/>
  </cellStyles>
  <dxfs count="4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493644</xdr:colOff>
      <xdr:row>9</xdr:row>
      <xdr:rowOff>24848</xdr:rowOff>
    </xdr:from>
    <xdr:to>
      <xdr:col>1</xdr:col>
      <xdr:colOff>493644</xdr:colOff>
      <xdr:row>10</xdr:row>
      <xdr:rowOff>132521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553BB0EB-4A2B-6988-B853-7456ACDED016}"/>
            </a:ext>
          </a:extLst>
        </xdr:cNvPr>
        <xdr:cNvCxnSpPr/>
      </xdr:nvCxnSpPr>
      <xdr:spPr>
        <a:xfrm flipV="1">
          <a:off x="4091609" y="1833770"/>
          <a:ext cx="0" cy="293203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8283</xdr:rowOff>
    </xdr:from>
    <xdr:to>
      <xdr:col>9</xdr:col>
      <xdr:colOff>16565</xdr:colOff>
      <xdr:row>3</xdr:row>
      <xdr:rowOff>233378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79DF46-3183-E6C0-2EC7-0D74672E27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9423"/>
        <a:stretch/>
      </xdr:blipFill>
      <xdr:spPr>
        <a:xfrm>
          <a:off x="0" y="8283"/>
          <a:ext cx="4605130" cy="7965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ENADT20\Desktop\Air%20Quality%20Standards%20Project%20(TM)\AQ%20Project%20Stage%202\Guideline\Tools\Air%20Quality%20Screening%20Investig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te Details"/>
      <sheetName val="VIC"/>
      <sheetName val="WA"/>
      <sheetName val="NSW"/>
      <sheetName val="SA potential methods"/>
      <sheetName val="SA proposed RA"/>
      <sheetName val="SA examples"/>
      <sheetName val="Assessment requirements"/>
    </sheetNames>
    <sheetDataSet>
      <sheetData sheetId="0"/>
      <sheetData sheetId="1"/>
      <sheetData sheetId="2"/>
      <sheetData sheetId="3"/>
      <sheetData sheetId="4"/>
      <sheetData sheetId="5">
        <row r="2">
          <cell r="G2" t="str">
            <v>Level 1</v>
          </cell>
        </row>
        <row r="3">
          <cell r="G3" t="str">
            <v>Level 2</v>
          </cell>
        </row>
        <row r="4">
          <cell r="D4">
            <v>4</v>
          </cell>
          <cell r="G4" t="str">
            <v>Level 3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arigbasis.pir.sa.gov.au/WebtopEw/ws/samref/sarig1/image/DDD/MRGMG4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:AH24"/>
  <sheetViews>
    <sheetView tabSelected="1" zoomScale="115" zoomScaleNormal="115" workbookViewId="0">
      <selection activeCell="A17" sqref="A17"/>
    </sheetView>
  </sheetViews>
  <sheetFormatPr defaultRowHeight="15" x14ac:dyDescent="0.25"/>
  <cols>
    <col min="1" max="1" width="52.42578125" customWidth="1"/>
    <col min="2" max="2" width="16.42578125" customWidth="1"/>
    <col min="3" max="3" width="25.5703125" hidden="1" customWidth="1"/>
    <col min="4" max="4" width="21.140625" hidden="1" customWidth="1"/>
    <col min="5" max="6" width="19.85546875" hidden="1" customWidth="1"/>
    <col min="7" max="7" width="15.28515625" hidden="1" customWidth="1"/>
    <col min="8" max="8" width="17.42578125" hidden="1" customWidth="1"/>
    <col min="9" max="9" width="13.85546875" hidden="1" customWidth="1"/>
    <col min="10" max="10" width="12.5703125" customWidth="1"/>
    <col min="12" max="17" width="10.7109375" customWidth="1"/>
    <col min="20" max="25" width="10.7109375" customWidth="1"/>
  </cols>
  <sheetData>
    <row r="1" spans="1:34" x14ac:dyDescent="0.25">
      <c r="B1" s="2"/>
      <c r="C1" s="2"/>
      <c r="D1" s="2"/>
      <c r="E1" s="2"/>
      <c r="F1" s="2"/>
      <c r="G1" s="2"/>
    </row>
    <row r="2" spans="1:34" x14ac:dyDescent="0.25">
      <c r="A2" t="s">
        <v>25</v>
      </c>
      <c r="B2" s="17"/>
      <c r="C2" s="2"/>
      <c r="D2" s="2"/>
      <c r="E2" s="2"/>
      <c r="F2" s="2">
        <v>3</v>
      </c>
      <c r="G2" s="16" t="s">
        <v>24</v>
      </c>
      <c r="J2" s="1"/>
      <c r="N2" s="20"/>
      <c r="O2" s="20"/>
      <c r="P2" s="20"/>
      <c r="Q2" s="20"/>
      <c r="R2" s="20"/>
      <c r="S2" s="20"/>
      <c r="T2" s="20"/>
      <c r="W2" s="29"/>
      <c r="X2" s="29"/>
      <c r="Y2" s="29"/>
      <c r="Z2" s="29"/>
      <c r="AA2" s="29"/>
      <c r="AB2" s="29"/>
      <c r="AC2" s="29"/>
      <c r="AD2" s="29"/>
      <c r="AE2" s="29"/>
    </row>
    <row r="3" spans="1:34" ht="15" customHeight="1" x14ac:dyDescent="0.25">
      <c r="C3" s="2"/>
      <c r="D3" s="2"/>
      <c r="E3" s="2"/>
      <c r="F3" s="2">
        <v>2</v>
      </c>
      <c r="G3" s="19" t="s">
        <v>22</v>
      </c>
      <c r="J3" s="1"/>
      <c r="N3" s="20"/>
      <c r="O3" s="20"/>
      <c r="P3" s="20"/>
      <c r="Q3" s="20"/>
      <c r="R3" s="20"/>
      <c r="S3" s="20"/>
      <c r="T3" s="20"/>
      <c r="W3" s="29"/>
      <c r="X3" s="29"/>
      <c r="Y3" s="29"/>
      <c r="Z3" s="29"/>
      <c r="AA3" s="29"/>
      <c r="AB3" s="29"/>
      <c r="AC3" s="29"/>
      <c r="AD3" s="29"/>
      <c r="AE3" s="29"/>
    </row>
    <row r="4" spans="1:34" ht="18.75" customHeight="1" thickBot="1" x14ac:dyDescent="0.3">
      <c r="A4" s="31" t="s">
        <v>23</v>
      </c>
      <c r="B4" s="31"/>
      <c r="C4" s="2"/>
      <c r="D4" s="15">
        <f>IF((SUM(E9,F10,G11,H12,I13,D16,E16,E17,F17,F18,G18,G19,H19,I20)&gt;0)*(SUM(I12,I11,I10,I9,H11,H9,G9,G10,F9,I19,I18,I17,I16,H18,H17,H16,G17,G16,F16)=0),1,IF(SUM(D9:I13,D16:I20)=0,0,2))</f>
        <v>1</v>
      </c>
      <c r="E4" s="2"/>
      <c r="F4" s="2">
        <v>3</v>
      </c>
      <c r="G4" s="14" t="s">
        <v>20</v>
      </c>
      <c r="J4" s="1"/>
      <c r="L4" s="21"/>
      <c r="M4" s="21"/>
      <c r="N4" s="21"/>
      <c r="O4" s="21"/>
      <c r="W4" s="29"/>
      <c r="X4" s="29"/>
      <c r="Y4" s="29"/>
      <c r="Z4" s="29"/>
      <c r="AA4" s="29"/>
      <c r="AB4" s="29"/>
      <c r="AC4" s="29"/>
      <c r="AD4" s="29"/>
      <c r="AE4" s="29"/>
    </row>
    <row r="5" spans="1:34" s="26" customFormat="1" ht="24" thickBot="1" x14ac:dyDescent="0.4">
      <c r="A5" s="23" t="s">
        <v>21</v>
      </c>
      <c r="B5" s="24" t="str">
        <f>IF(D4=2,G2,IF(D4=1,G3,IF(D4=0,G4,"")))</f>
        <v>Level 2</v>
      </c>
      <c r="C5" s="25"/>
      <c r="D5" s="25"/>
      <c r="E5" s="25"/>
      <c r="F5" s="25"/>
      <c r="J5" s="27"/>
    </row>
    <row r="6" spans="1:34" x14ac:dyDescent="0.25">
      <c r="A6" s="13" t="s">
        <v>19</v>
      </c>
      <c r="B6" s="11">
        <v>0</v>
      </c>
      <c r="C6" s="2"/>
      <c r="D6" s="2"/>
      <c r="E6" s="2"/>
      <c r="F6" s="2"/>
      <c r="G6" s="2"/>
      <c r="J6" s="2"/>
      <c r="T6" s="30"/>
      <c r="U6" s="30"/>
      <c r="V6" s="30"/>
      <c r="W6" s="30"/>
      <c r="X6" s="30"/>
      <c r="Y6" s="30"/>
      <c r="Z6" s="30"/>
      <c r="AB6" s="30"/>
      <c r="AC6" s="30"/>
      <c r="AD6" s="30"/>
      <c r="AE6" s="30"/>
      <c r="AF6" s="30"/>
      <c r="AG6" s="30"/>
      <c r="AH6" s="30"/>
    </row>
    <row r="7" spans="1:34" ht="15" customHeight="1" x14ac:dyDescent="0.25">
      <c r="A7" s="13" t="s">
        <v>18</v>
      </c>
      <c r="B7" s="11">
        <v>1</v>
      </c>
      <c r="J7" s="2"/>
      <c r="T7" s="30"/>
      <c r="AB7" s="30"/>
    </row>
    <row r="8" spans="1:34" x14ac:dyDescent="0.25">
      <c r="A8" s="13" t="s">
        <v>17</v>
      </c>
      <c r="B8" s="11">
        <v>12</v>
      </c>
      <c r="C8" s="10" t="s">
        <v>15</v>
      </c>
      <c r="D8" t="s">
        <v>13</v>
      </c>
      <c r="E8" t="s">
        <v>12</v>
      </c>
      <c r="F8" t="s">
        <v>11</v>
      </c>
      <c r="G8" t="s">
        <v>10</v>
      </c>
      <c r="H8" t="s">
        <v>9</v>
      </c>
      <c r="I8" t="s">
        <v>8</v>
      </c>
      <c r="J8" s="2"/>
      <c r="T8" s="30"/>
      <c r="AB8" s="30"/>
    </row>
    <row r="9" spans="1:34" x14ac:dyDescent="0.25">
      <c r="A9" s="12" t="s">
        <v>16</v>
      </c>
      <c r="B9" s="18">
        <v>1</v>
      </c>
      <c r="C9" t="s">
        <v>4</v>
      </c>
      <c r="D9" s="7"/>
      <c r="E9" s="6">
        <f>IF(($B$7&lt;500)*(($B$8&gt;50)+($B$9&gt;5)),1,0)</f>
        <v>0</v>
      </c>
      <c r="F9" s="6">
        <f>IF(($B$7&lt;500)*(($B$8&gt;100)+($B$9&gt;15)),1,0)</f>
        <v>0</v>
      </c>
      <c r="G9" s="8">
        <f>IF(($B$7&lt;500)*(($B$8&gt;200)+($B$9&gt;30)),2,0)</f>
        <v>0</v>
      </c>
      <c r="H9" s="8">
        <f>IF(($B$7&lt;500)*(($B$8&gt;500)+($B$9&gt;150)),2,0)</f>
        <v>0</v>
      </c>
      <c r="I9" s="8">
        <f>IF(($B$7&lt;500)*(($B$8&gt;2000)+($B$9&gt;500)),2,0)</f>
        <v>0</v>
      </c>
      <c r="J9" s="2"/>
      <c r="T9" s="30"/>
      <c r="AB9" s="30"/>
    </row>
    <row r="10" spans="1:34" x14ac:dyDescent="0.25">
      <c r="A10" s="2"/>
      <c r="B10" s="2"/>
      <c r="C10" t="s">
        <v>3</v>
      </c>
      <c r="D10" s="7"/>
      <c r="E10" s="7"/>
      <c r="F10" s="6">
        <f>IF(($B$7&lt;750)*(($B$8&gt;100)+($B$9&gt;15)),1,0)</f>
        <v>0</v>
      </c>
      <c r="G10" s="8">
        <f>IF(($B$7&lt;750)*(($B$8&gt;200)+($B$9&gt;30)),2,0)</f>
        <v>0</v>
      </c>
      <c r="H10" s="8">
        <f>IF(($B$7&lt;750)*(($B$8&gt;500)+($B$9&gt;150)),2,0)</f>
        <v>0</v>
      </c>
      <c r="I10" s="8">
        <f>IF(($B$7&lt;750)*(($B$8&gt;2000)+($B$9&gt;500)),2,0)</f>
        <v>0</v>
      </c>
      <c r="J10" s="5"/>
      <c r="T10" s="30"/>
      <c r="AB10" s="30"/>
    </row>
    <row r="11" spans="1:34" x14ac:dyDescent="0.25">
      <c r="A11" s="2"/>
      <c r="B11" s="2"/>
      <c r="C11" t="s">
        <v>2</v>
      </c>
      <c r="D11" s="7"/>
      <c r="E11" s="7"/>
      <c r="F11" s="7"/>
      <c r="G11" s="6">
        <f>IF(($B$7&lt;1000)*(($B$8&gt;200)+($B$9&gt;30)),1,0)</f>
        <v>0</v>
      </c>
      <c r="H11" s="8">
        <f>IF(($B$7&lt;1000)*(($B$8&gt;500)+($B$9&gt;150)),2,0)</f>
        <v>0</v>
      </c>
      <c r="I11" s="8">
        <f>IF(($B$7&lt;1000)*(($B$8&gt;2000)+($B$9&gt;500)),2,0)</f>
        <v>0</v>
      </c>
      <c r="J11" s="5"/>
      <c r="T11" s="30"/>
      <c r="AB11" s="30"/>
    </row>
    <row r="12" spans="1:34" ht="90" x14ac:dyDescent="0.25">
      <c r="A12" s="22"/>
      <c r="B12" s="28" t="s">
        <v>26</v>
      </c>
      <c r="C12" t="s">
        <v>1</v>
      </c>
      <c r="D12" s="7"/>
      <c r="E12" s="7"/>
      <c r="F12" s="7"/>
      <c r="G12" s="7"/>
      <c r="H12" s="6">
        <f>IF(($B$7&lt;1500)*(($B$8&gt;500)+($B$9&gt;150)),1,0)</f>
        <v>0</v>
      </c>
      <c r="I12" s="8">
        <f>IF(($B$7&lt;1500)*(($B$8&gt;2000)+($B$9&gt;500)),2,0)</f>
        <v>0</v>
      </c>
      <c r="J12" s="5"/>
      <c r="T12" s="30"/>
      <c r="AB12" s="30"/>
    </row>
    <row r="13" spans="1:34" x14ac:dyDescent="0.25">
      <c r="A13" s="3"/>
      <c r="B13" s="3"/>
      <c r="C13" t="s">
        <v>0</v>
      </c>
      <c r="D13" s="7"/>
      <c r="E13" s="7"/>
      <c r="F13" s="7"/>
      <c r="G13" s="7"/>
      <c r="H13" s="7"/>
      <c r="I13" s="6">
        <f>IF(($B$7&lt;5000)*(($B$8&gt;2000)+($B$9&gt;500)),1,0)</f>
        <v>0</v>
      </c>
      <c r="J13" s="5"/>
    </row>
    <row r="14" spans="1:34" ht="30" x14ac:dyDescent="0.25">
      <c r="A14" s="32" t="s">
        <v>27</v>
      </c>
      <c r="B14" s="3"/>
      <c r="J14" s="1"/>
      <c r="V14" s="30"/>
      <c r="W14" s="30"/>
      <c r="X14" s="30"/>
      <c r="Y14" s="30"/>
      <c r="Z14" s="30"/>
      <c r="AD14" s="30"/>
      <c r="AE14" s="30"/>
      <c r="AF14" s="30"/>
      <c r="AG14" s="30"/>
      <c r="AH14" s="30"/>
    </row>
    <row r="15" spans="1:34" x14ac:dyDescent="0.25">
      <c r="A15" s="33" t="s">
        <v>28</v>
      </c>
      <c r="C15" s="10" t="s">
        <v>14</v>
      </c>
      <c r="D15" t="s">
        <v>13</v>
      </c>
      <c r="E15" t="s">
        <v>12</v>
      </c>
      <c r="F15" t="s">
        <v>11</v>
      </c>
      <c r="G15" t="s">
        <v>10</v>
      </c>
      <c r="H15" t="s">
        <v>9</v>
      </c>
      <c r="I15" t="s">
        <v>8</v>
      </c>
      <c r="J15" s="1"/>
    </row>
    <row r="16" spans="1:34" x14ac:dyDescent="0.25">
      <c r="C16" s="9" t="s">
        <v>7</v>
      </c>
      <c r="D16" s="6">
        <f>IF(($B$6&lt;250),1,0)</f>
        <v>1</v>
      </c>
      <c r="E16" s="6">
        <f>IF(($B$6&lt;250)*(($B$8&gt;50)+($B$9&gt;5)),1,0)</f>
        <v>0</v>
      </c>
      <c r="F16" s="8">
        <f>IF(($B$6&lt;250)*(($B$8&gt;100)+($B$9&gt;15)),1,0)</f>
        <v>0</v>
      </c>
      <c r="G16" s="8">
        <f>IF(($B$6&lt;250)*(($B$8&gt;200)+($B$9&gt;30)),2,0)</f>
        <v>0</v>
      </c>
      <c r="H16" s="8">
        <f>IF(($B$6&lt;250)*(($B$8&gt;500)+($B$9&gt;150)),2,0)</f>
        <v>0</v>
      </c>
      <c r="I16" s="8">
        <f>IF(($B$6&lt;250)*(($B$8&gt;2000)+($B$9&gt;500)),2,0)</f>
        <v>0</v>
      </c>
      <c r="J16" s="5"/>
      <c r="T16" s="30"/>
      <c r="U16" s="30"/>
      <c r="V16" s="30"/>
      <c r="W16" s="30"/>
      <c r="X16" s="30"/>
      <c r="Y16" s="30"/>
      <c r="Z16" s="30"/>
      <c r="AB16" s="30"/>
      <c r="AC16" s="30"/>
      <c r="AD16" s="30"/>
      <c r="AE16" s="30"/>
      <c r="AF16" s="30"/>
      <c r="AG16" s="30"/>
      <c r="AH16" s="30"/>
    </row>
    <row r="17" spans="1:34" ht="15" customHeight="1" x14ac:dyDescent="0.25">
      <c r="C17" t="s">
        <v>6</v>
      </c>
      <c r="D17" s="7"/>
      <c r="E17" s="6">
        <f>IF(($B$6&lt;500)*(($B$8&gt;50)+($B$9&gt;5)),1,0)</f>
        <v>0</v>
      </c>
      <c r="F17" s="6">
        <f>IF(($B$6&lt;500)*(($B$8&gt;100)+($B$9&gt;15)),2,0)</f>
        <v>0</v>
      </c>
      <c r="G17" s="8">
        <f>IF(($B$6&lt;500)*(($B$8&gt;200)+($B$9&gt;30)),2,0)</f>
        <v>0</v>
      </c>
      <c r="H17" s="8">
        <f>IF(($B$6&lt;500)*(($B$8&gt;500)+($B$9&gt;150)),2,0)</f>
        <v>0</v>
      </c>
      <c r="I17" s="8">
        <f>IF(($B$6&lt;500)*(($B$8&gt;2000)+($B$9&gt;500)),2,0)</f>
        <v>0</v>
      </c>
      <c r="J17" s="5"/>
      <c r="T17" s="30"/>
      <c r="AB17" s="30"/>
    </row>
    <row r="18" spans="1:34" x14ac:dyDescent="0.25">
      <c r="C18" t="s">
        <v>3</v>
      </c>
      <c r="D18" s="7"/>
      <c r="E18" s="7"/>
      <c r="F18" s="6">
        <f>IF(($B$6&lt;750)*(($B$8&gt;100)+($B$9&gt;15)),1,0)</f>
        <v>0</v>
      </c>
      <c r="G18" s="8">
        <f>IF(($B$6&lt;750)*(($B$8&gt;200)+($B$9&gt;30)),2,0)</f>
        <v>0</v>
      </c>
      <c r="H18" s="8">
        <f>IF(($B$6&lt;750)*(($B$8&gt;500)+($B$9&gt;150)),2,0)</f>
        <v>0</v>
      </c>
      <c r="I18" s="8">
        <f>IF(($B$6&lt;750)*(($B$8&gt;2000)+($B$9&gt;500)),2,0)</f>
        <v>0</v>
      </c>
      <c r="J18" s="5"/>
      <c r="T18" s="30"/>
      <c r="AB18" s="30"/>
    </row>
    <row r="19" spans="1:34" x14ac:dyDescent="0.25">
      <c r="C19" t="s">
        <v>5</v>
      </c>
      <c r="D19" s="7"/>
      <c r="E19" s="7"/>
      <c r="F19" s="7"/>
      <c r="G19" s="6">
        <f>IF(($B$6&lt;1500)*(($B$8&gt;200)+($B$9&gt;30)),2,0)</f>
        <v>0</v>
      </c>
      <c r="H19" s="6">
        <f>IF(($B$6&lt;1500)*(($B$8&gt;500)+($B$9&gt;150)),2,0)</f>
        <v>0</v>
      </c>
      <c r="I19" s="8">
        <f>IF(($B$6&lt;1500)*(($B$8&gt;2000)+($B$9&gt;500)),2,0)</f>
        <v>0</v>
      </c>
      <c r="J19" s="5"/>
      <c r="T19" s="30"/>
      <c r="AB19" s="30"/>
    </row>
    <row r="20" spans="1:34" x14ac:dyDescent="0.25">
      <c r="C20" t="s">
        <v>0</v>
      </c>
      <c r="D20" s="7"/>
      <c r="E20" s="7"/>
      <c r="F20" s="7"/>
      <c r="G20" s="7"/>
      <c r="H20" s="6">
        <f>IF(($B$6&lt;5000)*(($B$8&gt;500)+($B$9&gt;150)),2,0)</f>
        <v>0</v>
      </c>
      <c r="I20" s="6">
        <f>IF(($B$6&lt;5000)*(($B$8&gt;2000)+($B$9&gt;500)),2,0)</f>
        <v>0</v>
      </c>
      <c r="J20" s="5"/>
      <c r="T20" s="30"/>
      <c r="AB20" s="30"/>
    </row>
    <row r="21" spans="1:34" x14ac:dyDescent="0.25">
      <c r="A21" s="4"/>
      <c r="B21" s="3"/>
      <c r="I21" s="1"/>
      <c r="J21" s="1"/>
      <c r="T21" s="30"/>
      <c r="AB21" s="30"/>
    </row>
    <row r="22" spans="1:34" x14ac:dyDescent="0.25">
      <c r="A22" s="4"/>
      <c r="B22" s="3"/>
      <c r="J22" s="1"/>
      <c r="T22" s="30"/>
      <c r="AB22" s="30"/>
    </row>
    <row r="23" spans="1:34" x14ac:dyDescent="0.25">
      <c r="A23" s="2"/>
      <c r="J23" s="1"/>
    </row>
    <row r="24" spans="1:34" x14ac:dyDescent="0.25">
      <c r="V24" s="30"/>
      <c r="W24" s="30"/>
      <c r="X24" s="30"/>
      <c r="Y24" s="30"/>
      <c r="Z24" s="30"/>
      <c r="AD24" s="30"/>
      <c r="AE24" s="30"/>
      <c r="AF24" s="30"/>
      <c r="AG24" s="30"/>
      <c r="AH24" s="30"/>
    </row>
  </sheetData>
  <mergeCells count="14">
    <mergeCell ref="W2:AE4"/>
    <mergeCell ref="V24:Z24"/>
    <mergeCell ref="AD24:AH24"/>
    <mergeCell ref="T17:T22"/>
    <mergeCell ref="A4:B4"/>
    <mergeCell ref="T6:Z6"/>
    <mergeCell ref="T7:T12"/>
    <mergeCell ref="V14:Z14"/>
    <mergeCell ref="T16:Z16"/>
    <mergeCell ref="AB17:AB22"/>
    <mergeCell ref="AB16:AH16"/>
    <mergeCell ref="AD14:AH14"/>
    <mergeCell ref="AB7:AB12"/>
    <mergeCell ref="AB6:AH6"/>
  </mergeCells>
  <conditionalFormatting sqref="B5">
    <cfRule type="containsText" dxfId="3" priority="1" operator="containsText" text="Level 4">
      <formula>NOT(ISERROR(SEARCH("Level 4",B5)))</formula>
    </cfRule>
    <cfRule type="containsText" dxfId="2" priority="2" operator="containsText" text="Level 1">
      <formula>NOT(ISERROR(SEARCH("Level 1",B5)))</formula>
    </cfRule>
    <cfRule type="containsText" dxfId="1" priority="3" operator="containsText" text="Level 2">
      <formula>NOT(ISERROR(SEARCH("Level 2",B5)))</formula>
    </cfRule>
    <cfRule type="containsText" dxfId="0" priority="4" operator="containsText" text="Level 3">
      <formula>NOT(ISERROR(SEARCH("Level 3",B5)))</formula>
    </cfRule>
  </conditionalFormatting>
  <hyperlinks>
    <hyperlink ref="A15" r:id="rId1" xr:uid="{76273EE6-F24E-412F-A7B7-E90BC8A1A47A}"/>
  </hyperlinks>
  <pageMargins left="0.7" right="0.7" top="0.75" bottom="0.75" header="0.3" footer="0.3"/>
  <pageSetup paperSize="9" orientation="portrait" r:id="rId2"/>
  <headerFooter>
    <oddHeader>&amp;C&amp;"Arial"&amp;12&amp;KA80000 OFFICIAL&amp;1#_x000D_</oddHeader>
  </headerFooter>
  <drawing r:id="rId3"/>
</worksheet>
</file>

<file path=docMetadata/LabelInfo.xml><?xml version="1.0" encoding="utf-8"?>
<clbl:labelList xmlns:clbl="http://schemas.microsoft.com/office/2020/mipLabelMetadata">
  <clbl:label id="{77274858-3b1d-4431-8679-d878f40e28fd}" enabled="1" method="Privileged" siteId="{bda528f7-fca9-432f-bc98-bd7e90d40906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PreSAT</vt:lpstr>
    </vt:vector>
  </TitlesOfParts>
  <Company>PIRSA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Menadue</dc:creator>
  <cp:lastModifiedBy>Froud, Rachel (DEM)</cp:lastModifiedBy>
  <dcterms:created xsi:type="dcterms:W3CDTF">2019-07-05T03:55:09Z</dcterms:created>
  <dcterms:modified xsi:type="dcterms:W3CDTF">2024-09-04T06:13:01Z</dcterms:modified>
</cp:coreProperties>
</file>