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66925"/>
  <mc:AlternateContent xmlns:mc="http://schemas.openxmlformats.org/markup-compatibility/2006">
    <mc:Choice Requires="x15">
      <x15ac:absPath xmlns:x15ac="http://schemas.microsoft.com/office/spreadsheetml/2010/11/ac" url="https://ehssupport-my.sharepoint.com/personal/kevin_simpson_ehs-support_com/Documents/Desktop/DEM/"/>
    </mc:Choice>
  </mc:AlternateContent>
  <xr:revisionPtr revIDLastSave="11" documentId="8_{093F3AB7-BF31-476B-9C10-2905FED1EFD7}" xr6:coauthVersionLast="47" xr6:coauthVersionMax="47" xr10:uidLastSave="{A8A7D157-2955-48B4-BA23-1B02B4595C75}"/>
  <workbookProtection workbookAlgorithmName="SHA-512" workbookHashValue="zpwUIDDo+ZZ434WEDB16ldZObUuMdPzkSku76Ke1/EorOMRtOHWpUpX+tS5lxKZrakfS8ZH2rgrBZCF1/5jw6Q==" workbookSaltValue="qWxeqSDoHY4LFvIq0Kaipg==" workbookSpinCount="100000" lockStructure="1"/>
  <bookViews>
    <workbookView xWindow="28680" yWindow="-120" windowWidth="29040" windowHeight="15720" xr2:uid="{6187A976-CE94-4A94-9CC2-0F4AE7505A03}"/>
  </bookViews>
  <sheets>
    <sheet name="Information" sheetId="2" r:id="rId1"/>
    <sheet name="User Guide" sheetId="19" r:id="rId2"/>
    <sheet name="Input" sheetId="26" r:id="rId3"/>
    <sheet name="Cost Schedule" sheetId="12" r:id="rId4"/>
    <sheet name="Abandon wells" sheetId="25" r:id="rId5"/>
    <sheet name="Rates" sheetId="4" r:id="rId6"/>
    <sheet name="Assumptions" sheetId="7" r:id="rId7"/>
    <sheet name="Productivity" sheetId="5" r:id="rId8"/>
    <sheet name="Lists" sheetId="11" r:id="rId9"/>
  </sheets>
  <definedNames>
    <definedName name="_xlnm._FilterDatabase" localSheetId="2" hidden="1">Input!$A$8:$K$130</definedName>
    <definedName name="Abandonment_camp_hire">Rates!$C$103</definedName>
    <definedName name="Abandonment_camp_hire_rate">Rates!$D$103</definedName>
    <definedName name="Abandonment_rig_and_crew_hire">Rates!$C$104</definedName>
    <definedName name="Abandonment_rig_and_crew_hire_rate">Rates!$D$104</definedName>
    <definedName name="Aboveground">Lists!$B$114</definedName>
    <definedName name="Accounting_Administration_Clerical_Office_Services">Rates!$C$16</definedName>
    <definedName name="Accounting_Administration_Clerical_Office_Services_rates">Rates!$D$16</definedName>
    <definedName name="Activated_carbon_buy_dispose">Rates!$C$119</definedName>
    <definedName name="Activated_carbon_buy_dispose_rate">Rates!$D$119</definedName>
    <definedName name="Air_Compressor_tools">Rates!$C$80</definedName>
    <definedName name="Air_Compressor_tools_rate">Rates!$D$80</definedName>
    <definedName name="Ameliorants_app_rate">Assumptions!$C$44:$C$48</definedName>
    <definedName name="Ameliorants_names">Assumptions!$B$44:$B$48</definedName>
    <definedName name="Ameliorants_soil_names_As">Assumptions!$B$44:$B$48</definedName>
    <definedName name="Arid">Lists!$B$63</definedName>
    <definedName name="Asphalt_density">Assumptions!$C$87</definedName>
    <definedName name="Asphalt_thickness">Assumptions!$C$80</definedName>
    <definedName name="Associate_Engineer_Geologist_Scientist">Rates!$C$9</definedName>
    <definedName name="Associate_Engineer_Geologist_Scientist_rate">Rates!$D$9</definedName>
    <definedName name="Assumptions">Assumptions!$B$4</definedName>
    <definedName name="Auditor_Director">Rates!$C$14</definedName>
    <definedName name="Auditor_Director_rate">Rates!$D$14</definedName>
    <definedName name="Backhoe_420F">Rates!$C$66</definedName>
    <definedName name="Backhoe_420F_rate">Rates!$D$66</definedName>
    <definedName name="Backhoe_428F_4WD">Rates!$C$67</definedName>
    <definedName name="Backhoe_428F_4WD_rate">Rates!$D$67</definedName>
    <definedName name="Backhoe_attachments">Rates!$C$68</definedName>
    <definedName name="Backhoe_attachments_rate">Rates!$D$68</definedName>
    <definedName name="Barrier_plug_volume">Assumptions!$C$112</definedName>
    <definedName name="Borrow_Pit">Lists!$B$60</definedName>
    <definedName name="Buried">Lists!$B$115</definedName>
    <definedName name="Cementing_plant_and_crew">Rates!$C$106</definedName>
    <definedName name="Cementing_plant_and_crew_rate">Rates!$D$106</definedName>
    <definedName name="Concrete_break_rate">Productivity!$C$45</definedName>
    <definedName name="Concrete_cost">Rates!$C$85</definedName>
    <definedName name="Concrete_cost_per_m3">Rates!$D$85</definedName>
    <definedName name="Concrete_crush_30mm">Productivity!$C$19</definedName>
    <definedName name="Concrete_crush_50mm">Productivity!$C$18</definedName>
    <definedName name="Concrete_crush_75mm">Productivity!$C$17</definedName>
    <definedName name="Concrete_crushing_plant">Rates!$C$69</definedName>
    <definedName name="Concrete_crushing_plant_rate">Rates!$D$69</definedName>
    <definedName name="Concrete_cutter_portable">Rates!$C$82</definedName>
    <definedName name="Concrete_cutter_portable_rate">Rates!$D$82</definedName>
    <definedName name="Concrete_density">Assumptions!$C$75</definedName>
    <definedName name="Concrete_disposal_distance">Assumptions!$C$58</definedName>
    <definedName name="Concrete_footing_Module">Assumptions!$C$79</definedName>
    <definedName name="Concrete_Pump">Rates!$C$84</definedName>
    <definedName name="Concrete_Pump_rate">Rates!$D$84</definedName>
    <definedName name="Concrete_slab_thickness_buildings">Assumptions!$C$77</definedName>
    <definedName name="Concrete_slab_thickness_heavy">Assumptions!$C$76</definedName>
    <definedName name="Concrete_surface_cover_Parking">Assumptions!$C$78</definedName>
    <definedName name="Concrete_truck_packing_factor">Assumptions!$C$82</definedName>
    <definedName name="Construction_labour">Rates!$C$23</definedName>
    <definedName name="Construction_labour_rate">Rates!$D$23</definedName>
    <definedName name="Contingency_percentage">Assumptions!$C$72</definedName>
    <definedName name="Conventional_gas">Lists!$B$141</definedName>
    <definedName name="Conventional_oil">Lists!$B$142</definedName>
    <definedName name="Cost_Schedule">'Cost Schedule'!$B$4</definedName>
    <definedName name="Crane_120t">Rates!$C$27</definedName>
    <definedName name="Crane_120t_rate">Rates!$D$27</definedName>
    <definedName name="Crane_20t">Rates!$C$25</definedName>
    <definedName name="Crane_20t_rate">Rates!$D$25</definedName>
    <definedName name="Crane_50t">Rates!$C$26</definedName>
    <definedName name="Crane_50t_rate">Rates!$D$26</definedName>
    <definedName name="D10T_Dozer">Rates!$C$33</definedName>
    <definedName name="D10T_Dozer_rate">Rates!$D$33</definedName>
    <definedName name="Dam_clean_lined">Lists!$B$12</definedName>
    <definedName name="Dam_contamination">Lists!$B$11:$B$12</definedName>
    <definedName name="dam_growthmedia_def">Assumptions!$C$32</definedName>
    <definedName name="Dam_heavy">Lists!$B$11</definedName>
    <definedName name="Dam_liner">Lists!$B$15:$B$16</definedName>
    <definedName name="Dam_liner_spmass_def">Assumptions!$C$28</definedName>
    <definedName name="dam_sed_clean_def">Assumptions!$C$30</definedName>
    <definedName name="dam_sed_heavy_def">Assumptions!$C$29</definedName>
    <definedName name="Dam_Unlined">Lists!$B$16</definedName>
    <definedName name="Dam_Xonliner_def">Assumptions!$C$31</definedName>
    <definedName name="De_contamination_water_4L">Rates!$C$111</definedName>
    <definedName name="De_contamination_water_4L_rate">Rates!$D$111</definedName>
    <definedName name="Disposal_gate_fee_asbestos_in_soil">Rates!$D$89</definedName>
    <definedName name="Disposal_gate_fee_concrete_rubble_rate">Rates!$D$87</definedName>
    <definedName name="Disposal_gate_fee_Construction_Debris">Rates!$C$87</definedName>
    <definedName name="Disposal_gate_fee_Construction_Debris_rate">Rates!$D$87</definedName>
    <definedName name="Disposal_gate_fee_High_level_solid_waste_rate">Rates!$D$91</definedName>
    <definedName name="Disposal_gate_fee_Low_level_solid_waste">Rates!$C$90</definedName>
    <definedName name="Disposal_gate_fee_Low_level_solid_waste_rate">Rates!$D$90</definedName>
    <definedName name="Disposal_gate_fee_names">Rates!$C$87:$C$91</definedName>
    <definedName name="Disposal_gate_fee_oil_rate">Rates!$D$93</definedName>
    <definedName name="Disposal_gate_fee_oily_water">Rates!$C$92</definedName>
    <definedName name="Disposal_gate_fee_oily_water_rate">Rates!$D$92</definedName>
    <definedName name="Disposal_gate_fee_rates">Rates!$D$87:$D$91</definedName>
    <definedName name="Disposal_gate_fee_sludge">Rates!$D$94</definedName>
    <definedName name="Disposal_gate_fee_Steel">Rates!$D$88</definedName>
    <definedName name="Distances_short">Lists!$B$150:$B$153</definedName>
    <definedName name="Dozer_applied">Lists!$B$146</definedName>
    <definedName name="Dozer_D10T">Rates!$C$33</definedName>
    <definedName name="Dozer_D10T_rate">Rates!$D$33</definedName>
    <definedName name="Dozer_D11T">Rates!$C$34</definedName>
    <definedName name="Dozer_D11T_rate">Rates!$D$34</definedName>
    <definedName name="Dozer_D6R">Rates!$C$29</definedName>
    <definedName name="Dozer_D6R_rate">Rates!$D$29</definedName>
    <definedName name="Dozer_D7R">Rates!$C$30</definedName>
    <definedName name="Dozer_D7R_rate">Rates!$D$30</definedName>
    <definedName name="Dozer_D8R">Rates!$C$31</definedName>
    <definedName name="Dozer_D8R_rate">Rates!$D$31</definedName>
    <definedName name="Dozer_D9R">Rates!$C$32</definedName>
    <definedName name="Dozer_D9R_rate">Rates!$D$32</definedName>
    <definedName name="Dozer_lengths_L">Lists!$B$19:$B$32</definedName>
    <definedName name="Dozer_names_P">Productivity!$B$24:$B$29</definedName>
    <definedName name="Dozer_push_length_P">Productivity!$C$23:$O$23</definedName>
    <definedName name="Dozer_values_P">Productivity!$C$24:$O$29</definedName>
    <definedName name="Draftsman_Technician">Rates!$C$15</definedName>
    <definedName name="Draftsman_Technician_rate">Rates!$D$15</definedName>
    <definedName name="Drilling_engineer">Rates!$C$24</definedName>
    <definedName name="Drilling_engineer_rate">Rates!$D$24</definedName>
    <definedName name="Electrician">Rates!$C$18</definedName>
    <definedName name="Electrician_rate">Rates!$D$18</definedName>
    <definedName name="Excavator_20t">Rates!$C$38</definedName>
    <definedName name="Excavator_20t_grapple">Rates!$C$48</definedName>
    <definedName name="Excavator_20t_grapple_rate">Rates!$D$48</definedName>
    <definedName name="Excavator_20t_hammer">Rates!$C$42</definedName>
    <definedName name="Excavator_20t_hammer_rate">Rates!$D$42</definedName>
    <definedName name="Excavator_20t_rate">Rates!$D$38</definedName>
    <definedName name="Excavator_20t_shears">Rates!$C$45</definedName>
    <definedName name="Excavator_20t_shears_rate">Rates!$D$45</definedName>
    <definedName name="Excavator_40t">Rates!$C$39</definedName>
    <definedName name="Excavator_40t_grapple">Rates!$C$49</definedName>
    <definedName name="Excavator_40t_grapple_rate">Rates!$D$49</definedName>
    <definedName name="Excavator_40t_hammer">Rates!$C$43</definedName>
    <definedName name="Excavator_40t_hammer_rate">Rates!$D$43</definedName>
    <definedName name="Excavator_40t_rate">Rates!$D$39</definedName>
    <definedName name="Excavator_40t_shears">Rates!$C$46</definedName>
    <definedName name="Excavator_40t_shears_rate">Rates!$D$46</definedName>
    <definedName name="Excavator_74t">Rates!$C$40</definedName>
    <definedName name="Excavator_74t_grapple">Rates!$C$50</definedName>
    <definedName name="Excavator_74t_grapple_rate">Rates!$D$50</definedName>
    <definedName name="Excavator_74t_hammer">Rates!$C$44</definedName>
    <definedName name="Excavator_74t_hammer_rate">Rates!$D$44</definedName>
    <definedName name="Excavator_74t_rate">Rates!$D$40</definedName>
    <definedName name="Excavator_74t_shears">Rates!$C$47</definedName>
    <definedName name="Excavator_74t_shears_rate">Rates!$D$47</definedName>
    <definedName name="Excavator_90t">Rates!$C$41</definedName>
    <definedName name="Excavator_90t_Rate">Rates!$D$41</definedName>
    <definedName name="Excavator_Cut_Cladding">Productivity!$C$42</definedName>
    <definedName name="Excavator_cut_liner">Productivity!$C$46</definedName>
    <definedName name="Excavator_Cut_Pipe">Productivity!$C$40</definedName>
    <definedName name="Excavator_Cut_Steel_Plate">Productivity!$C$43</definedName>
    <definedName name="Excavator_liner_rolling">Productivity!$C$47</definedName>
    <definedName name="Fertiliser_names">Rates!$C$54:$C$55</definedName>
    <definedName name="Fertiliser_native">Rates!$C$55</definedName>
    <definedName name="Fertiliser_native_app_rate">Assumptions!$C$50</definedName>
    <definedName name="Fertiliser_native_rate">Rates!$D$55</definedName>
    <definedName name="Fertiliser_pasture">Rates!$C$54</definedName>
    <definedName name="Fertiliser_pasture_app_rate">Assumptions!$C$49</definedName>
    <definedName name="Fertiliser_pasture_rate">Rates!$D$54</definedName>
    <definedName name="Fertiliser_rates">Rates!$D$54:$D$55</definedName>
    <definedName name="Flushing">Lists!$B$116</definedName>
    <definedName name="Foreperson">Rates!$C$19</definedName>
    <definedName name="Foreperson_rate">Rates!$D$19</definedName>
    <definedName name="Fuel_tanker">Rates!$C$76</definedName>
    <definedName name="Fuel_tanker_rate">Rates!$D$76</definedName>
    <definedName name="Gas_Axe">Rates!$C$81</definedName>
    <definedName name="Gas_Axe_rate">Rates!$D$81</definedName>
    <definedName name="Gas_processing_plant">Lists!$B$139</definedName>
    <definedName name="Gloves_disposables">Rates!$C$112</definedName>
    <definedName name="Gloves_disposables_rate">Rates!$D$112</definedName>
    <definedName name="Grader_12M">Rates!$C$35</definedName>
    <definedName name="Grader_12M_rate">Rates!$D$35</definedName>
    <definedName name="Grader_14M">Rates!$C$36</definedName>
    <definedName name="Grader_14M_rate">Rates!$D$36</definedName>
    <definedName name="Grader_16M">Rates!$C$37</definedName>
    <definedName name="Grader_16M_rate">Rates!$D$37</definedName>
    <definedName name="Gravel_reuse_distance">Assumptions!$C$63</definedName>
    <definedName name="Gravel_thickness">Assumptions!$C$81</definedName>
    <definedName name="Growth_media_thickness">Assumptions!$C$43</definedName>
    <definedName name="Gypsum">Rates!$C$52</definedName>
    <definedName name="Gypsum_rate">Rates!$D$52</definedName>
    <definedName name="Gypsum_soil_oneway_distance">Assumptions!$C$57</definedName>
    <definedName name="Handcast">Lists!$B$145</definedName>
    <definedName name="HDPE_Welder">Rates!$C$22</definedName>
    <definedName name="HDPE_Welder_rate">Rates!$D$22</definedName>
    <definedName name="Heavy_metals_analysis">Rates!$C$122</definedName>
    <definedName name="Heavy_metals_analysis_rate">Rates!$D$122</definedName>
    <definedName name="Hours_per_day">Assumptions!$C$66</definedName>
    <definedName name="Hydrated_Lime">Rates!$C$117</definedName>
    <definedName name="Hydrated_Lime_rate">Rates!$D$117</definedName>
    <definedName name="Incidental_waste_multiplier">Assumptions!$C$25</definedName>
    <definedName name="Information">Information!$B$3</definedName>
    <definedName name="INPUT" localSheetId="2">Input!$B$6</definedName>
    <definedName name="Junior_Engineer_Geologist_Scientist">Rates!$C$8</definedName>
    <definedName name="Junior_Engineer_Geologist_Scientist_rate">Rates!$D$8</definedName>
    <definedName name="Kill_fluid">Rates!$C$98</definedName>
    <definedName name="Kill_fluid_management_equipment">Rates!$C$100</definedName>
    <definedName name="Kill_fluid_management_equipment_rate">Rates!$D$100</definedName>
    <definedName name="Kill_fluid_pumping_equipment">Rates!$C$99</definedName>
    <definedName name="Kill_fluid_pumping_equipment_rate">Rates!$D$99</definedName>
    <definedName name="Kill_fluid_pumping_rate">Productivity!$D$11</definedName>
    <definedName name="Kill_fluid_rate">Rates!$D$98</definedName>
    <definedName name="kilograms_in_tonnes">Assumptions!$C$18</definedName>
    <definedName name="kph_to_metres_per_min">Assumptions!$C$24</definedName>
    <definedName name="Lab_heavy_metals_rate">Rates!$D$122</definedName>
    <definedName name="Labour_General">Rates!$C$20</definedName>
    <definedName name="Labour_General_rate">Rates!$D$20</definedName>
    <definedName name="Land_type_list">Lists!$B$63:$B$65</definedName>
    <definedName name="Laydown">Lists!$B$59</definedName>
    <definedName name="Lime">Rates!$C$53</definedName>
    <definedName name="Lime_rate">Rates!$D$53</definedName>
    <definedName name="Liquid_waste_disposal_distance">Assumptions!$C$59</definedName>
    <definedName name="Litres_in_kilolitres">Assumptions!$C$21</definedName>
    <definedName name="Load_haul_names_L">Lists!$B$68:$B$78</definedName>
    <definedName name="Loader_926M">Rates!$C$64</definedName>
    <definedName name="Loader_926M_rate">Rates!$D$64</definedName>
    <definedName name="Loader_950M">Rates!$C$65</definedName>
    <definedName name="Loader_950M_rate">Rates!$D$65</definedName>
    <definedName name="Loader_980M">Rates!$C$63</definedName>
    <definedName name="Loader_980M_rate">Rates!$D$63</definedName>
    <definedName name="Long_haul_distance_average_L">Lists!$C$81:$C$99</definedName>
    <definedName name="Long_haul_distance_names_L">Lists!$B$81:$B$99</definedName>
    <definedName name="Materials_list">Lists!$B$102:$B$105</definedName>
    <definedName name="Mechanical_Fitter">Rates!$C$21</definedName>
    <definedName name="Mechanical_Fitter_rate">Rates!$D$21</definedName>
    <definedName name="Mechanical_plug">Rates!$C$107</definedName>
    <definedName name="Mechanical_plug_rate">Rates!$D$107</definedName>
    <definedName name="Metres_in_kilometres">Assumptions!$C$19</definedName>
    <definedName name="Metres_min_in_kilometres_hour">Assumptions!$C$23</definedName>
    <definedName name="Millimetres_in_metres">Assumptions!$C$22</definedName>
    <definedName name="Minutes_in_hour">Assumptions!$C$17</definedName>
    <definedName name="Native">Lists!$B$65</definedName>
    <definedName name="Native_seed">Rates!$C$57</definedName>
    <definedName name="Native_seed_rate">Rates!$D$57</definedName>
    <definedName name="Neutraliser_0.5ML_d">Rates!$C$115</definedName>
    <definedName name="Neutraliser_0.5ML_d_rate">Rates!$D$115</definedName>
    <definedName name="No_replace">Lists!$B$201</definedName>
    <definedName name="Oil_water_separator_carbon_unit">Rates!$C$116</definedName>
    <definedName name="Oil_water_separator_carbon_unit_rate">Rates!$D$116</definedName>
    <definedName name="Ongoing_monitoring_percentage">Assumptions!$C$71</definedName>
    <definedName name="PAHs_and_Phenols">Rates!$C$123</definedName>
    <definedName name="PAHs_and_phenols_analysis">Rates!$C$123</definedName>
    <definedName name="PAHs_and_phenols_analysis_rate">Rates!$D$123</definedName>
    <definedName name="Panhandler">Rates!$C$62</definedName>
    <definedName name="Panhandler_rate">Rates!$D$62</definedName>
    <definedName name="Pasture">Lists!$B$64</definedName>
    <definedName name="Pasture_seed">Rates!$C$58</definedName>
    <definedName name="Pasture_seed_rate">Rates!$D$58</definedName>
    <definedName name="Permanent_camp">Lists!$B$8</definedName>
    <definedName name="Petroleum_hydrocarbons_analysis">Rates!$C$121</definedName>
    <definedName name="Petroleum_hydrocarbons_analysis_rate">Rates!$D$121</definedName>
    <definedName name="Photo_ionisation_detector_day">Rates!$C$110</definedName>
    <definedName name="Photo_ionisation_detector_day_rate">Rates!$D$110</definedName>
    <definedName name="Pigging_equipment">Rates!$C$86</definedName>
    <definedName name="Pigging_equipment_rate">Rates!$D$86</definedName>
    <definedName name="Pipeline_location">Lists!$B$113:$B$116</definedName>
    <definedName name="Pipeline_rehab_L">Lists!$B$108:$B$110</definedName>
    <definedName name="Plant">Lists!$B$147</definedName>
    <definedName name="Plant_and_seed_app_rate">Assumptions!$C$51:$C$54</definedName>
    <definedName name="Plant_and_seed_names_Ass">Assumptions!$B$51:$B$54</definedName>
    <definedName name="Plant_and_seed_names_R">Rates!$C$57:$C$60</definedName>
    <definedName name="Pond_gauging_equipment">Rates!$C$113</definedName>
    <definedName name="Pond_gauging_equipment_rate">Rates!$D$113</definedName>
    <definedName name="Principal_Engineer_Geologist_Scientist">Rates!$C$10</definedName>
    <definedName name="Principal_Engineer_Geologist_Scientist_rate">Rates!$D$10</definedName>
    <definedName name="Productivity">Productivity!$B$4</definedName>
    <definedName name="Project_management_percentage">Assumptions!$C$70</definedName>
    <definedName name="Project_Manager">Rates!$C$12</definedName>
    <definedName name="Project_Manager_rate">Rates!$D$12</definedName>
    <definedName name="Project_Name">Information!$D$7</definedName>
    <definedName name="Pump_6_inch">Rates!$C$120</definedName>
    <definedName name="Pump_6_inch_rate">Rates!$D$120</definedName>
    <definedName name="Pump_Truck_Tanker">Rates!$C$77</definedName>
    <definedName name="Pump_Truck_Tanker_rate">Rates!$D$77</definedName>
    <definedName name="Rate_unit">Rates!$E:$E</definedName>
    <definedName name="Rates">Rates!$C$4</definedName>
    <definedName name="Rates_name">Rates!$C:$C</definedName>
    <definedName name="Remove">Lists!$B$113</definedName>
    <definedName name="Remove_contam_only">Lists!$B$203</definedName>
    <definedName name="Replace_rock">Lists!$B$202</definedName>
    <definedName name="Reverse_Osmosis_1ML_d">Rates!$C$114</definedName>
    <definedName name="Reverse_Osmosis_1ML_d_rate">Rates!$D$114</definedName>
    <definedName name="Rig_mobe_rate">Rates!$D$102</definedName>
    <definedName name="Rig_mobilisation">Rates!$C$102</definedName>
    <definedName name="Rig_mobilisation_preparation">Rates!$C$101</definedName>
    <definedName name="Rig_mobilisation_preparation_rate">Rates!$D$101</definedName>
    <definedName name="Rigger">Rates!$C$17</definedName>
    <definedName name="Rigger_rate">Rates!$D$17</definedName>
    <definedName name="RO_Chemicals">Rates!$C$118</definedName>
    <definedName name="RO_Chemicals_rate">Rates!$D$118</definedName>
    <definedName name="Rock_cover_density">Assumptions!$C$89</definedName>
    <definedName name="Scrapyard_distance">Assumptions!$C$60</definedName>
    <definedName name="Seed_and_plant_rates">Rates!$D$57:$D$60</definedName>
    <definedName name="Seeding_boreholes">Rates!$C$83</definedName>
    <definedName name="Seeding_boreholes_rate">Rates!$D$83</definedName>
    <definedName name="Semi_tipper_max_mass">Productivity!$C$83</definedName>
    <definedName name="Semi_tipper_max_volume">Productivity!$C$82</definedName>
    <definedName name="Semi_tipper_maximum_volume___concrete">Productivity!$C$84</definedName>
    <definedName name="Senior_Principal_Engineer_Geologist_Scientist">Rates!$C$11</definedName>
    <definedName name="Senior_Principal_Engineer_Geologist_Scientist_rate">Rates!$D$11</definedName>
    <definedName name="Senior_Project_Manager">Rates!$C$13</definedName>
    <definedName name="Senior_Project_Manager_rate">Rates!$D$13</definedName>
    <definedName name="Single_skin_tank">Lists!$B$168</definedName>
    <definedName name="Site_name">Information!$D$11</definedName>
    <definedName name="Sludge_density">Assumptions!$C$88</definedName>
    <definedName name="Soil_Augers">Rates!$C$109</definedName>
    <definedName name="Soil_Augers_rate">Rates!$D$109</definedName>
    <definedName name="Soil_density">Assumptions!$C$90</definedName>
    <definedName name="Soil_disposal_distance">Assumptions!$C$61</definedName>
    <definedName name="Solid_salt_distance">Assumptions!$C$62</definedName>
    <definedName name="Specific_mass_of_structural_steel_columns">Assumptions!$C$85</definedName>
    <definedName name="Specific_mass_of_structural_steel_cross_beams">Assumptions!$C$86</definedName>
    <definedName name="Square_metres_in_hectare">Assumptions!$C$20</definedName>
    <definedName name="Stand_alone_gas_compressor">Lists!$B$138</definedName>
    <definedName name="Steel_density">Assumptions!$C$83</definedName>
    <definedName name="Steel_roof_specific_mass">Assumptions!$C$84</definedName>
    <definedName name="Surface_cover_list">Lists!$B$156:$B$158</definedName>
    <definedName name="Surface_replace">Lists!$B$201:$B$203</definedName>
    <definedName name="Tank_base_type">Lists!$B$161:$B$165</definedName>
    <definedName name="Tank_concrete_ring_L">Lists!$B$181</definedName>
    <definedName name="Tank_hopper_L">Lists!$B$183</definedName>
    <definedName name="Tank_horizontal_L">Lists!$B$180</definedName>
    <definedName name="Tank_liner_type">Lists!$B$171:$B$172</definedName>
    <definedName name="Tank_panel_L">Lists!$B$182</definedName>
    <definedName name="Tank_rainwater_L">Lists!$B$184</definedName>
    <definedName name="Tank_skin_type">Lists!$B$168:$B$168</definedName>
    <definedName name="Tank_top_type">Lists!$B$175:$B$176</definedName>
    <definedName name="Tank_type">Lists!$B$179:$B$184</definedName>
    <definedName name="Tank_vertical_L">Lists!$B$179</definedName>
    <definedName name="Tank_wall">Lists!$B$187:$B$189</definedName>
    <definedName name="Tanker_capacity">Productivity!$C$85</definedName>
    <definedName name="Tanker_liquids_pump_flowrate_oil">Productivity!$C$87</definedName>
    <definedName name="Tanker_liquids_pump_flowrate_water">Productivity!$C$88</definedName>
    <definedName name="Temporary_camp">Lists!$B$7</definedName>
    <definedName name="Tilling">Productivity!$C$14</definedName>
    <definedName name="Time_one_barrier">Productivity!$D$10</definedName>
    <definedName name="Top_Inputs" localSheetId="2">Input!$B$6</definedName>
    <definedName name="Top_soil">Rates!$C$51</definedName>
    <definedName name="Top_soil_rate">Rates!$D$51</definedName>
    <definedName name="TPH_TRH">Rates!$C$121</definedName>
    <definedName name="Tracks_List">Lists!$B$59:$B$60</definedName>
    <definedName name="Trees_mature">Rates!$C$60</definedName>
    <definedName name="Trees_mature_rate">Rates!$D$60</definedName>
    <definedName name="Truck_740C">Rates!$C$73</definedName>
    <definedName name="Truck_740C_rate">Rates!$D$73</definedName>
    <definedName name="Truck_flatbed">Rates!$C$70</definedName>
    <definedName name="Truck_flatbed_rate">Rates!$D$70</definedName>
    <definedName name="Truck_Haul_Speed_Loaded">Productivity!$C$78</definedName>
    <definedName name="Truck_Haul_Speed_Unloaded">Productivity!$C$79</definedName>
    <definedName name="Truck_module_transport">Rates!$C$78</definedName>
    <definedName name="Truck_module_transport_rate">Rates!$D$78</definedName>
    <definedName name="Truck_semi_tipper">Rates!$C$71</definedName>
    <definedName name="Truck_semi_tipper_rate">Rates!$D$71</definedName>
    <definedName name="Truck_travel_speed_on_site_loaded">Productivity!$C$80</definedName>
    <definedName name="Truck_travel_speed_on_site_unloaded">Productivity!$C$81</definedName>
    <definedName name="Truck_vacuum_tanker">Rates!$C$74</definedName>
    <definedName name="Truck_vacuum_tanker_rate">Rates!$D$74</definedName>
    <definedName name="Truck_water_load">Productivity!$C$86</definedName>
    <definedName name="Truck_water_tanker_19kL">Rates!$C$75</definedName>
    <definedName name="Truck_water_tanker_19kL_rate">Rates!$D$75</definedName>
    <definedName name="Truck_with_crane">Rates!$C$72</definedName>
    <definedName name="Truck_with_crane_rate">Rates!$D$72</definedName>
    <definedName name="Tube_stock">Rates!$C$59</definedName>
    <definedName name="Tube_stock_rate">Rates!$D$59</definedName>
    <definedName name="USER_GUIDE">'User Guide'!$C$10</definedName>
    <definedName name="Utility">Rates!$C$79</definedName>
    <definedName name="Utility_rate">Rates!$D$79</definedName>
    <definedName name="Verification_of_barrier">Rates!$C$108</definedName>
    <definedName name="Verification_of_barrier_rate">Rates!$D$108</definedName>
    <definedName name="Waste_levy_liquid_gate_fee">Rates!$D$97</definedName>
    <definedName name="Waste_levy_Metropolitan_Solid_Waste">Rates!$C$95</definedName>
    <definedName name="Waste_levy_Metropolitan_Solid_Waste_rate">Rates!$D$95</definedName>
    <definedName name="Waste_levy_names">Rates!$C$95:$C$96</definedName>
    <definedName name="Waste_levy_Non_Metropolitan_Solid_Waste">Rates!$C$96</definedName>
    <definedName name="Waste_levy_Non_Metropolitan_Solid_Waste_rate">Rates!$D$96</definedName>
    <definedName name="Waste_levy_rates">Rates!$D$95:$D$96</definedName>
    <definedName name="Water">Rates!$C$61</definedName>
    <definedName name="Water_rate">Rates!$D$61</definedName>
    <definedName name="Water_treatment_plant">Lists!$B$140</definedName>
    <definedName name="Wireline_rig_and_crew_hire">Rates!$C$105</definedName>
    <definedName name="Wireline_rig_and_crew_hire_rate">Rates!$D$105</definedName>
    <definedName name="Work_Platform">Rates!$C$28</definedName>
    <definedName name="Work_Platform_rate">Rates!$D$28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26" l="1"/>
  <c r="D50" i="26"/>
  <c r="D51" i="26"/>
  <c r="D52" i="26"/>
  <c r="D48" i="26"/>
  <c r="B48" i="26"/>
  <c r="B126" i="26"/>
  <c r="B127" i="26"/>
  <c r="B125" i="26"/>
  <c r="H98" i="26" l="1"/>
  <c r="D99" i="26"/>
  <c r="H100" i="26"/>
  <c r="D98" i="26"/>
  <c r="B98" i="26"/>
  <c r="B99" i="26"/>
  <c r="D100" i="26"/>
  <c r="H99" i="26"/>
  <c r="B100" i="26"/>
  <c r="B48" i="19" l="1"/>
  <c r="B103" i="26"/>
  <c r="B104" i="26"/>
  <c r="B105" i="26"/>
  <c r="B106" i="26"/>
  <c r="B107" i="26"/>
  <c r="B108" i="26"/>
  <c r="B109" i="26"/>
  <c r="B102" i="26"/>
  <c r="B41" i="26"/>
  <c r="B20" i="26"/>
  <c r="B21" i="26"/>
  <c r="B22" i="26"/>
  <c r="B23" i="26"/>
  <c r="B24" i="26"/>
  <c r="B25" i="26"/>
  <c r="B26" i="26"/>
  <c r="B27" i="26"/>
  <c r="B28" i="26"/>
  <c r="B29" i="26"/>
  <c r="B30" i="26"/>
  <c r="B31" i="26"/>
  <c r="B32" i="26"/>
  <c r="B33" i="26"/>
  <c r="B34" i="26"/>
  <c r="B35" i="26"/>
  <c r="B36" i="26"/>
  <c r="B37" i="26"/>
  <c r="B38" i="26"/>
  <c r="B39" i="26"/>
  <c r="B19" i="26"/>
  <c r="B11" i="26"/>
  <c r="B12" i="26"/>
  <c r="B13" i="26"/>
  <c r="B15" i="26"/>
  <c r="B16" i="26"/>
  <c r="B17" i="26"/>
  <c r="B10" i="26"/>
  <c r="B76" i="26"/>
  <c r="B77" i="26"/>
  <c r="B78" i="26"/>
  <c r="B79" i="26"/>
  <c r="B80" i="26"/>
  <c r="B65" i="26"/>
  <c r="B66" i="26"/>
  <c r="B67" i="26"/>
  <c r="B68" i="26"/>
  <c r="B69" i="26"/>
  <c r="B70" i="26"/>
  <c r="B71" i="26"/>
  <c r="B72" i="26"/>
  <c r="B64" i="26"/>
  <c r="B14" i="26"/>
  <c r="B86" i="26"/>
  <c r="D86" i="26"/>
  <c r="H86" i="26" s="1"/>
  <c r="H89" i="26" l="1"/>
  <c r="H90" i="26"/>
  <c r="H91" i="26"/>
  <c r="H92" i="26"/>
  <c r="H93" i="26"/>
  <c r="H94" i="26"/>
  <c r="H95" i="26"/>
  <c r="H96" i="26"/>
  <c r="H97" i="26"/>
  <c r="D89" i="26"/>
  <c r="D90" i="26"/>
  <c r="D91" i="26"/>
  <c r="D92" i="26"/>
  <c r="D93" i="26"/>
  <c r="D94" i="26"/>
  <c r="D95" i="26"/>
  <c r="D96" i="26"/>
  <c r="D97" i="26"/>
  <c r="B94" i="26"/>
  <c r="B95" i="26"/>
  <c r="B96" i="26"/>
  <c r="B97" i="26"/>
  <c r="B89" i="26"/>
  <c r="B90" i="26"/>
  <c r="B91" i="26"/>
  <c r="B92" i="26"/>
  <c r="B93" i="26"/>
  <c r="D20" i="26"/>
  <c r="H20" i="26" s="1"/>
  <c r="D21" i="26"/>
  <c r="H21" i="26" s="1"/>
  <c r="D22" i="26"/>
  <c r="H22" i="26" s="1"/>
  <c r="D30" i="26"/>
  <c r="H30" i="26" s="1"/>
  <c r="D32" i="26"/>
  <c r="H32" i="26" s="1"/>
  <c r="D33" i="26"/>
  <c r="H33" i="26" s="1"/>
  <c r="D34" i="26"/>
  <c r="H34" i="26" s="1"/>
  <c r="D35" i="26"/>
  <c r="H35" i="26" s="1"/>
  <c r="D36" i="26"/>
  <c r="H36" i="26" s="1"/>
  <c r="D37" i="26"/>
  <c r="H37" i="26" s="1"/>
  <c r="D38" i="26"/>
  <c r="H38" i="26" s="1"/>
  <c r="D39" i="26"/>
  <c r="H39" i="26" s="1"/>
  <c r="G112" i="26"/>
  <c r="G113" i="26"/>
  <c r="G114" i="26"/>
  <c r="G115" i="26"/>
  <c r="G116" i="26"/>
  <c r="G117" i="26"/>
  <c r="G118" i="26"/>
  <c r="G119" i="26"/>
  <c r="G120" i="26"/>
  <c r="G121" i="26"/>
  <c r="D17" i="26"/>
  <c r="H17" i="26" s="1"/>
  <c r="B26" i="5" l="1"/>
  <c r="D72" i="5" l="1"/>
  <c r="E72" i="5"/>
  <c r="C72" i="5"/>
  <c r="H88" i="26"/>
  <c r="D88" i="26"/>
  <c r="B88" i="26"/>
  <c r="B84" i="26"/>
  <c r="D84" i="26"/>
  <c r="H84" i="26" s="1"/>
  <c r="B85" i="26"/>
  <c r="D85" i="26"/>
  <c r="H85" i="26" s="1"/>
  <c r="B83" i="26"/>
  <c r="D83" i="26"/>
  <c r="H83" i="26" s="1"/>
  <c r="D82" i="26"/>
  <c r="H82" i="26" s="1"/>
  <c r="B82" i="26"/>
  <c r="D78" i="26"/>
  <c r="H78" i="26" s="1"/>
  <c r="D79" i="26"/>
  <c r="H79" i="26" s="1"/>
  <c r="D80" i="26"/>
  <c r="H80" i="26" s="1"/>
  <c r="D77" i="26"/>
  <c r="H77" i="26" s="1"/>
  <c r="D76" i="26"/>
  <c r="H76" i="26" s="1"/>
  <c r="B74" i="26"/>
  <c r="D74" i="26"/>
  <c r="H74" i="26" s="1"/>
  <c r="B75" i="26"/>
  <c r="D75" i="26"/>
  <c r="H75" i="26" s="1"/>
  <c r="D73" i="26"/>
  <c r="H73" i="26" s="1"/>
  <c r="B73" i="26"/>
  <c r="D41" i="26"/>
  <c r="H41" i="26" s="1"/>
  <c r="B43" i="26"/>
  <c r="D43" i="26"/>
  <c r="H43" i="26" s="1"/>
  <c r="B44" i="26"/>
  <c r="D44" i="26"/>
  <c r="H44" i="26" s="1"/>
  <c r="B45" i="26"/>
  <c r="D45" i="26"/>
  <c r="H45" i="26" s="1"/>
  <c r="B46" i="26"/>
  <c r="D46" i="26"/>
  <c r="H46" i="26" s="1"/>
  <c r="B42" i="26"/>
  <c r="D42" i="26"/>
  <c r="H42" i="26" s="1"/>
  <c r="D31" i="26"/>
  <c r="H31" i="26" s="1"/>
  <c r="D29" i="26"/>
  <c r="H29" i="26" s="1"/>
  <c r="D27" i="26"/>
  <c r="H27" i="26" s="1"/>
  <c r="D24" i="26"/>
  <c r="H24" i="26" s="1"/>
  <c r="D23" i="26"/>
  <c r="H23" i="26" s="1"/>
  <c r="D19" i="26"/>
  <c r="D11" i="26"/>
  <c r="H11" i="26" s="1"/>
  <c r="D12" i="26"/>
  <c r="H12" i="26" s="1"/>
  <c r="D13" i="26"/>
  <c r="H13" i="26" s="1"/>
  <c r="D14" i="26"/>
  <c r="H14" i="26" s="1"/>
  <c r="D15" i="26"/>
  <c r="H15" i="26" s="1"/>
  <c r="D16" i="26"/>
  <c r="H16" i="26" s="1"/>
  <c r="D10" i="26"/>
  <c r="H10" i="26" s="1"/>
  <c r="H121" i="26"/>
  <c r="I121" i="26"/>
  <c r="H120" i="26"/>
  <c r="I120" i="26"/>
  <c r="H119" i="26"/>
  <c r="I119" i="26"/>
  <c r="H118" i="26"/>
  <c r="I118" i="26"/>
  <c r="H117" i="26"/>
  <c r="I117" i="26"/>
  <c r="H116" i="26"/>
  <c r="I116" i="26"/>
  <c r="I115" i="26"/>
  <c r="I114" i="26"/>
  <c r="I113" i="26"/>
  <c r="I112" i="26"/>
  <c r="G111" i="26"/>
  <c r="I111" i="26" s="1"/>
  <c r="H109" i="26"/>
  <c r="H108" i="26"/>
  <c r="H107" i="26"/>
  <c r="H106" i="26"/>
  <c r="H105" i="26"/>
  <c r="H104" i="26"/>
  <c r="H103" i="26"/>
  <c r="H102" i="26"/>
  <c r="H72" i="26"/>
  <c r="H71" i="26"/>
  <c r="H70" i="26"/>
  <c r="H69" i="26"/>
  <c r="H68" i="26"/>
  <c r="H67" i="26"/>
  <c r="H66" i="26"/>
  <c r="H65" i="26"/>
  <c r="H64" i="26"/>
  <c r="H62" i="26"/>
  <c r="H61" i="26"/>
  <c r="H60" i="26"/>
  <c r="H59" i="26"/>
  <c r="H58" i="26"/>
  <c r="H57" i="26"/>
  <c r="H56" i="26"/>
  <c r="H55" i="26"/>
  <c r="H54" i="26"/>
  <c r="H53" i="26"/>
  <c r="H52" i="26"/>
  <c r="H51" i="26"/>
  <c r="H50" i="26"/>
  <c r="H49" i="26"/>
  <c r="H48" i="26"/>
  <c r="C4" i="26"/>
  <c r="B2" i="26"/>
  <c r="I110" i="26" l="1"/>
  <c r="AO56" i="25" l="1"/>
  <c r="L52" i="25"/>
  <c r="S52" i="25" s="1"/>
  <c r="Z52" i="25" s="1"/>
  <c r="AG52" i="25" s="1"/>
  <c r="AN52" i="25" s="1"/>
  <c r="F52" i="25"/>
  <c r="M52" i="25" s="1"/>
  <c r="T52" i="25" s="1"/>
  <c r="AA52" i="25" s="1"/>
  <c r="AH52" i="25" s="1"/>
  <c r="AO52" i="25" s="1"/>
  <c r="E20" i="25"/>
  <c r="F20" i="25" s="1"/>
  <c r="G20" i="25" s="1"/>
  <c r="H20" i="25" s="1"/>
  <c r="I20" i="25" s="1"/>
  <c r="J20" i="25" s="1"/>
  <c r="K20" i="25" s="1"/>
  <c r="L20" i="25" s="1"/>
  <c r="F33" i="25"/>
  <c r="G33" i="25" s="1"/>
  <c r="L27" i="25"/>
  <c r="F56" i="25"/>
  <c r="G56" i="25" s="1"/>
  <c r="H56" i="25" s="1"/>
  <c r="I56" i="25" s="1"/>
  <c r="J56" i="25" s="1"/>
  <c r="K56" i="25" s="1"/>
  <c r="M56" i="25" s="1"/>
  <c r="N56" i="25" s="1"/>
  <c r="O56" i="25" s="1"/>
  <c r="P56" i="25" s="1"/>
  <c r="Q56" i="25" s="1"/>
  <c r="R56" i="25" s="1"/>
  <c r="T56" i="25" s="1"/>
  <c r="U56" i="25" s="1"/>
  <c r="V56" i="25" s="1"/>
  <c r="W56" i="25" s="1"/>
  <c r="X56" i="25" s="1"/>
  <c r="Y56" i="25" s="1"/>
  <c r="AA56" i="25" s="1"/>
  <c r="AB56" i="25" s="1"/>
  <c r="AC56" i="25" s="1"/>
  <c r="AD56" i="25" s="1"/>
  <c r="AE56" i="25" s="1"/>
  <c r="AF56" i="25" s="1"/>
  <c r="AH56" i="25" s="1"/>
  <c r="AI56" i="25" s="1"/>
  <c r="AJ56" i="25" s="1"/>
  <c r="AK56" i="25" s="1"/>
  <c r="AL56" i="25" s="1"/>
  <c r="AM56" i="25" s="1"/>
  <c r="F45" i="25"/>
  <c r="G45" i="25" s="1"/>
  <c r="H45" i="25" s="1"/>
  <c r="I45" i="25" s="1"/>
  <c r="J45" i="25" s="1"/>
  <c r="K45" i="25" s="1"/>
  <c r="L45" i="25" s="1"/>
  <c r="M45" i="25" s="1"/>
  <c r="N45" i="25" s="1"/>
  <c r="O45" i="25" s="1"/>
  <c r="P45" i="25" s="1"/>
  <c r="Q45" i="25" s="1"/>
  <c r="R45" i="25" s="1"/>
  <c r="S45" i="25" s="1"/>
  <c r="T45" i="25" s="1"/>
  <c r="U45" i="25" s="1"/>
  <c r="V45" i="25" s="1"/>
  <c r="W45" i="25" s="1"/>
  <c r="X45" i="25" s="1"/>
  <c r="Y45" i="25" s="1"/>
  <c r="Z45" i="25" s="1"/>
  <c r="AA45" i="25" s="1"/>
  <c r="AB45" i="25" s="1"/>
  <c r="AC45" i="25" s="1"/>
  <c r="AD45" i="25" s="1"/>
  <c r="AE45" i="25" s="1"/>
  <c r="AF45" i="25" s="1"/>
  <c r="AG45" i="25" s="1"/>
  <c r="AH45" i="25" s="1"/>
  <c r="AI45" i="25" s="1"/>
  <c r="AJ45" i="25" s="1"/>
  <c r="AK45" i="25" s="1"/>
  <c r="AL45" i="25" s="1"/>
  <c r="AM45" i="25" s="1"/>
  <c r="AN45" i="25" s="1"/>
  <c r="AO45" i="25" s="1"/>
  <c r="AP45" i="25" s="1"/>
  <c r="AQ45" i="25" s="1"/>
  <c r="AR45" i="25" s="1"/>
  <c r="AD63" i="25"/>
  <c r="AE63" i="25" s="1"/>
  <c r="R63" i="25"/>
  <c r="S63" i="25" s="1"/>
  <c r="S27" i="25" l="1"/>
  <c r="B49" i="26"/>
  <c r="B50" i="26"/>
  <c r="W57" i="25"/>
  <c r="AI57" i="25"/>
  <c r="AJ57" i="25"/>
  <c r="AK57" i="25"/>
  <c r="K57" i="25"/>
  <c r="E57" i="25"/>
  <c r="L57" i="25"/>
  <c r="G57" i="25"/>
  <c r="H57" i="25"/>
  <c r="AN57" i="25"/>
  <c r="J57" i="25"/>
  <c r="I57" i="25"/>
  <c r="AM57" i="25"/>
  <c r="AS45" i="25"/>
  <c r="AO57" i="25"/>
  <c r="AP56" i="25"/>
  <c r="Z57" i="25"/>
  <c r="Y57" i="25"/>
  <c r="X57" i="25"/>
  <c r="V57" i="25"/>
  <c r="U57" i="25"/>
  <c r="AL57" i="25"/>
  <c r="AH57" i="25"/>
  <c r="T57" i="25"/>
  <c r="F57" i="25"/>
  <c r="AG57" i="25"/>
  <c r="AF57" i="25"/>
  <c r="R57" i="25"/>
  <c r="AE57" i="25"/>
  <c r="Q57" i="25"/>
  <c r="AD57" i="25"/>
  <c r="P57" i="25"/>
  <c r="AC57" i="25"/>
  <c r="O57" i="25"/>
  <c r="S57" i="25"/>
  <c r="AB57" i="25"/>
  <c r="N57" i="25"/>
  <c r="AA57" i="25"/>
  <c r="M57" i="25"/>
  <c r="G52" i="25"/>
  <c r="M20" i="25"/>
  <c r="H33" i="25"/>
  <c r="AF63" i="25"/>
  <c r="T63" i="25"/>
  <c r="Z27" i="25" l="1"/>
  <c r="B51" i="26"/>
  <c r="B52" i="26"/>
  <c r="AT45" i="25"/>
  <c r="AP57" i="25"/>
  <c r="AQ56" i="25"/>
  <c r="N52" i="25"/>
  <c r="U52" i="25" s="1"/>
  <c r="AB52" i="25" s="1"/>
  <c r="AI52" i="25" s="1"/>
  <c r="AP52" i="25" s="1"/>
  <c r="H52" i="25"/>
  <c r="N20" i="25"/>
  <c r="I33" i="25"/>
  <c r="AG63" i="25"/>
  <c r="U63" i="25"/>
  <c r="AG27" i="25" l="1"/>
  <c r="AQ57" i="25"/>
  <c r="AR56" i="25"/>
  <c r="O52" i="25"/>
  <c r="V52" i="25" s="1"/>
  <c r="AC52" i="25" s="1"/>
  <c r="AJ52" i="25" s="1"/>
  <c r="AQ52" i="25" s="1"/>
  <c r="I52" i="25"/>
  <c r="O20" i="25"/>
  <c r="J33" i="25"/>
  <c r="AH63" i="25"/>
  <c r="V63" i="25"/>
  <c r="AN27" i="25" l="1"/>
  <c r="AR57" i="25"/>
  <c r="AS56" i="25"/>
  <c r="P52" i="25"/>
  <c r="W52" i="25" s="1"/>
  <c r="AD52" i="25" s="1"/>
  <c r="AK52" i="25" s="1"/>
  <c r="AR52" i="25" s="1"/>
  <c r="J52" i="25"/>
  <c r="P20" i="25"/>
  <c r="K33" i="25"/>
  <c r="AI63" i="25"/>
  <c r="W63" i="25"/>
  <c r="AS57" i="25" l="1"/>
  <c r="AT56" i="25"/>
  <c r="K52" i="25"/>
  <c r="R52" i="25" s="1"/>
  <c r="Y52" i="25" s="1"/>
  <c r="AF52" i="25" s="1"/>
  <c r="AM52" i="25" s="1"/>
  <c r="AT52" i="25" s="1"/>
  <c r="Q52" i="25"/>
  <c r="X52" i="25" s="1"/>
  <c r="AE52" i="25" s="1"/>
  <c r="AL52" i="25" s="1"/>
  <c r="AS52" i="25" s="1"/>
  <c r="Q20" i="25"/>
  <c r="L33" i="25"/>
  <c r="AJ63" i="25"/>
  <c r="X63" i="25"/>
  <c r="AT57" i="25" l="1"/>
  <c r="R20" i="25"/>
  <c r="M33" i="25"/>
  <c r="AK63" i="25"/>
  <c r="Y63" i="25"/>
  <c r="S20" i="25" l="1"/>
  <c r="N33" i="25"/>
  <c r="AL63" i="25"/>
  <c r="Z63" i="25"/>
  <c r="T20" i="25" l="1"/>
  <c r="O33" i="25"/>
  <c r="AM63" i="25"/>
  <c r="AN63" i="25" s="1"/>
  <c r="AO63" i="25" s="1"/>
  <c r="AP63" i="25" s="1"/>
  <c r="AQ63" i="25" s="1"/>
  <c r="AR63" i="25" s="1"/>
  <c r="AS63" i="25" s="1"/>
  <c r="AT63" i="25" s="1"/>
  <c r="AA63" i="25"/>
  <c r="U20" i="25" l="1"/>
  <c r="P33" i="25"/>
  <c r="AB63" i="25"/>
  <c r="V20" i="25" l="1"/>
  <c r="Q33" i="25"/>
  <c r="W20" i="25" l="1"/>
  <c r="R33" i="25"/>
  <c r="X20" i="25"/>
  <c r="S33" i="25"/>
  <c r="Y20" i="25" l="1"/>
  <c r="T33" i="25"/>
  <c r="Z20" i="25" l="1"/>
  <c r="U33" i="25"/>
  <c r="E28" i="25"/>
  <c r="E14" i="25" l="1"/>
  <c r="E5" i="25"/>
  <c r="E19" i="25"/>
  <c r="AA20" i="25"/>
  <c r="V33" i="25"/>
  <c r="L28" i="25"/>
  <c r="F27" i="25"/>
  <c r="E29" i="25"/>
  <c r="E46" i="25" s="1"/>
  <c r="L5" i="25" l="1"/>
  <c r="L14" i="25"/>
  <c r="L19" i="25"/>
  <c r="S28" i="25"/>
  <c r="AB20" i="25"/>
  <c r="W33" i="25"/>
  <c r="M27" i="25"/>
  <c r="F28" i="25"/>
  <c r="F19" i="25" s="1"/>
  <c r="F5" i="25" l="1"/>
  <c r="S14" i="25"/>
  <c r="S5" i="25"/>
  <c r="F14" i="25"/>
  <c r="S19" i="25"/>
  <c r="F29" i="25"/>
  <c r="F46" i="25" s="1"/>
  <c r="T27" i="25"/>
  <c r="AC20" i="25"/>
  <c r="Z28" i="25"/>
  <c r="X33" i="25"/>
  <c r="G28" i="25"/>
  <c r="M28" i="25"/>
  <c r="T28" i="25" s="1"/>
  <c r="AA28" i="25" s="1"/>
  <c r="AH28" i="25" s="1"/>
  <c r="AO28" i="25" s="1"/>
  <c r="G27" i="25"/>
  <c r="M5" i="25" l="1"/>
  <c r="M14" i="25"/>
  <c r="Z5" i="25"/>
  <c r="Z14" i="25"/>
  <c r="T5" i="25"/>
  <c r="T14" i="25"/>
  <c r="G14" i="25"/>
  <c r="G5" i="25"/>
  <c r="M19" i="25"/>
  <c r="Z19" i="25"/>
  <c r="T19" i="25"/>
  <c r="G19" i="25"/>
  <c r="AG28" i="25"/>
  <c r="AD20" i="25"/>
  <c r="AA27" i="25"/>
  <c r="Y33" i="25"/>
  <c r="N27" i="25"/>
  <c r="N28" i="25"/>
  <c r="U28" i="25" s="1"/>
  <c r="AB28" i="25" s="1"/>
  <c r="AI28" i="25" s="1"/>
  <c r="AP28" i="25" s="1"/>
  <c r="H28" i="25"/>
  <c r="G29" i="25"/>
  <c r="N14" i="25" l="1"/>
  <c r="N5" i="25"/>
  <c r="AA14" i="25"/>
  <c r="AA5" i="25"/>
  <c r="AN28" i="25"/>
  <c r="AG14" i="25"/>
  <c r="AG5" i="25"/>
  <c r="AA19" i="25"/>
  <c r="AG19" i="25"/>
  <c r="N19" i="25"/>
  <c r="U27" i="25"/>
  <c r="AH27" i="25"/>
  <c r="AE20" i="25"/>
  <c r="Z33" i="25"/>
  <c r="G46" i="25"/>
  <c r="I28" i="25"/>
  <c r="O28" i="25"/>
  <c r="V28" i="25" s="1"/>
  <c r="AC28" i="25" s="1"/>
  <c r="AJ28" i="25" s="1"/>
  <c r="AQ28" i="25" s="1"/>
  <c r="H27" i="25"/>
  <c r="AN29" i="25" l="1"/>
  <c r="AN46" i="25" s="1"/>
  <c r="AN19" i="25"/>
  <c r="AN5" i="25"/>
  <c r="AN14" i="25"/>
  <c r="H14" i="25"/>
  <c r="H5" i="25"/>
  <c r="AH5" i="25"/>
  <c r="AH14" i="25"/>
  <c r="AO27" i="25"/>
  <c r="U5" i="25"/>
  <c r="U14" i="25"/>
  <c r="AH19" i="25"/>
  <c r="U19" i="25"/>
  <c r="H19" i="25"/>
  <c r="AF20" i="25"/>
  <c r="AB27" i="25"/>
  <c r="O27" i="25"/>
  <c r="AA33" i="25"/>
  <c r="J28" i="25"/>
  <c r="P28" i="25"/>
  <c r="W28" i="25" s="1"/>
  <c r="AD28" i="25" s="1"/>
  <c r="AK28" i="25" s="1"/>
  <c r="AR28" i="25" s="1"/>
  <c r="S29" i="25"/>
  <c r="O14" i="25" l="1"/>
  <c r="O5" i="25"/>
  <c r="AO29" i="25"/>
  <c r="AO46" i="25" s="1"/>
  <c r="AO14" i="25"/>
  <c r="AO5" i="25"/>
  <c r="AO19" i="25"/>
  <c r="AB14" i="25"/>
  <c r="AB5" i="25"/>
  <c r="O19" i="25"/>
  <c r="AB19" i="25"/>
  <c r="V27" i="25"/>
  <c r="AI27" i="25"/>
  <c r="AG20" i="25"/>
  <c r="AB33" i="25"/>
  <c r="K28" i="25"/>
  <c r="R28" i="25" s="1"/>
  <c r="Y28" i="25" s="1"/>
  <c r="AF28" i="25" s="1"/>
  <c r="AM28" i="25" s="1"/>
  <c r="AT28" i="25" s="1"/>
  <c r="Q28" i="25"/>
  <c r="X28" i="25" s="1"/>
  <c r="AE28" i="25" s="1"/>
  <c r="AL28" i="25" s="1"/>
  <c r="AS28" i="25" s="1"/>
  <c r="H29" i="25"/>
  <c r="S46" i="25"/>
  <c r="I27" i="25"/>
  <c r="T29" i="25"/>
  <c r="I5" i="25" l="1"/>
  <c r="I14" i="25"/>
  <c r="AI5" i="25"/>
  <c r="AI14" i="25"/>
  <c r="AP27" i="25"/>
  <c r="V5" i="25"/>
  <c r="V14" i="25"/>
  <c r="I19" i="25"/>
  <c r="V19" i="25"/>
  <c r="AI19" i="25"/>
  <c r="AH20" i="25"/>
  <c r="AC27" i="25"/>
  <c r="P27" i="25"/>
  <c r="AC33" i="25"/>
  <c r="H46" i="25"/>
  <c r="T46" i="25"/>
  <c r="I29" i="25"/>
  <c r="AC14" i="25" l="1"/>
  <c r="AC5" i="25"/>
  <c r="P14" i="25"/>
  <c r="P5" i="25"/>
  <c r="AP29" i="25"/>
  <c r="AP46" i="25" s="1"/>
  <c r="AP14" i="25"/>
  <c r="AP5" i="25"/>
  <c r="AP19" i="25"/>
  <c r="P19" i="25"/>
  <c r="AC19" i="25"/>
  <c r="W27" i="25"/>
  <c r="AJ27" i="25"/>
  <c r="AC29" i="25"/>
  <c r="AI20" i="25"/>
  <c r="AD33" i="25"/>
  <c r="I46" i="25"/>
  <c r="J27" i="25"/>
  <c r="U29" i="25"/>
  <c r="W5" i="25" l="1"/>
  <c r="W14" i="25"/>
  <c r="J5" i="25"/>
  <c r="J14" i="25"/>
  <c r="AJ5" i="25"/>
  <c r="AJ14" i="25"/>
  <c r="AQ27" i="25"/>
  <c r="J19" i="25"/>
  <c r="AJ19" i="25"/>
  <c r="W19" i="25"/>
  <c r="AJ20" i="25"/>
  <c r="AC46" i="25"/>
  <c r="AD27" i="25"/>
  <c r="Q27" i="25"/>
  <c r="AE33" i="25"/>
  <c r="U46" i="25"/>
  <c r="J29" i="25"/>
  <c r="AG29" i="25"/>
  <c r="AQ29" i="25" l="1"/>
  <c r="AQ46" i="25" s="1"/>
  <c r="AQ14" i="25"/>
  <c r="AQ5" i="25"/>
  <c r="AQ19" i="25"/>
  <c r="Q14" i="25"/>
  <c r="Q5" i="25"/>
  <c r="AD14" i="25"/>
  <c r="AD5" i="25"/>
  <c r="Q19" i="25"/>
  <c r="AD19" i="25"/>
  <c r="X27" i="25"/>
  <c r="AD29" i="25"/>
  <c r="AK27" i="25"/>
  <c r="AK20" i="25"/>
  <c r="Q29" i="25"/>
  <c r="AF33" i="25"/>
  <c r="J46" i="25"/>
  <c r="AG46" i="25"/>
  <c r="K27" i="25"/>
  <c r="F63" i="25"/>
  <c r="G63" i="25" s="1"/>
  <c r="B2" i="25"/>
  <c r="AK5" i="25" l="1"/>
  <c r="AK14" i="25"/>
  <c r="AR27" i="25"/>
  <c r="X5" i="25"/>
  <c r="X14" i="25"/>
  <c r="K5" i="25"/>
  <c r="K14" i="25"/>
  <c r="AO26" i="25"/>
  <c r="AN26" i="25"/>
  <c r="AT26" i="25"/>
  <c r="AR26" i="25"/>
  <c r="AQ26" i="25"/>
  <c r="AP26" i="25"/>
  <c r="AS26" i="25"/>
  <c r="K19" i="25"/>
  <c r="AK19" i="25"/>
  <c r="X19" i="25"/>
  <c r="J26" i="25"/>
  <c r="X26" i="25"/>
  <c r="AL26" i="25"/>
  <c r="AA26" i="25"/>
  <c r="N26" i="25"/>
  <c r="AE26" i="25"/>
  <c r="S26" i="25"/>
  <c r="T26" i="25"/>
  <c r="V26" i="25"/>
  <c r="K26" i="25"/>
  <c r="Y26" i="25"/>
  <c r="AM26" i="25"/>
  <c r="M26" i="25"/>
  <c r="AB26" i="25"/>
  <c r="P26" i="25"/>
  <c r="Q26" i="25"/>
  <c r="R26" i="25"/>
  <c r="AF26" i="25"/>
  <c r="AH26" i="25"/>
  <c r="L26" i="25"/>
  <c r="Z26" i="25"/>
  <c r="E26" i="25"/>
  <c r="O26" i="25"/>
  <c r="AC26" i="25"/>
  <c r="AD26" i="25"/>
  <c r="F26" i="25"/>
  <c r="G26" i="25"/>
  <c r="U26" i="25"/>
  <c r="AI26" i="25"/>
  <c r="H26" i="25"/>
  <c r="AJ26" i="25"/>
  <c r="I26" i="25"/>
  <c r="W26" i="25"/>
  <c r="AG26" i="25"/>
  <c r="AK26" i="25"/>
  <c r="AL20" i="25"/>
  <c r="AD46" i="25"/>
  <c r="Q46" i="25"/>
  <c r="AE27" i="25"/>
  <c r="R27" i="25"/>
  <c r="AG33" i="25"/>
  <c r="V29" i="25"/>
  <c r="AH29" i="25"/>
  <c r="K29" i="25"/>
  <c r="H63" i="25"/>
  <c r="AE14" i="25" l="1"/>
  <c r="AE5" i="25"/>
  <c r="AR29" i="25"/>
  <c r="AR46" i="25" s="1"/>
  <c r="AR14" i="25"/>
  <c r="AR5" i="25"/>
  <c r="AR19" i="25"/>
  <c r="R14" i="25"/>
  <c r="R5" i="25"/>
  <c r="R19" i="25"/>
  <c r="AE19" i="25"/>
  <c r="R29" i="25"/>
  <c r="R46" i="25" s="1"/>
  <c r="AL27" i="25"/>
  <c r="AE29" i="25"/>
  <c r="AM20" i="25"/>
  <c r="AN20" i="25" s="1"/>
  <c r="AO20" i="25" s="1"/>
  <c r="AP20" i="25" s="1"/>
  <c r="AQ20" i="25" s="1"/>
  <c r="AR20" i="25" s="1"/>
  <c r="AS20" i="25" s="1"/>
  <c r="AT20" i="25" s="1"/>
  <c r="Y27" i="25"/>
  <c r="AH33" i="25"/>
  <c r="V46" i="25"/>
  <c r="K46" i="25"/>
  <c r="AH46" i="25"/>
  <c r="I63" i="25"/>
  <c r="AL5" i="25" l="1"/>
  <c r="AL14" i="25"/>
  <c r="AS27" i="25"/>
  <c r="Y14" i="25"/>
  <c r="Y5" i="25"/>
  <c r="Y19" i="25"/>
  <c r="AL19" i="25"/>
  <c r="AF27" i="25"/>
  <c r="AE46" i="25"/>
  <c r="AI33" i="25"/>
  <c r="W29" i="25"/>
  <c r="AI29" i="25"/>
  <c r="J63" i="25"/>
  <c r="AF5" i="25" l="1"/>
  <c r="AF14" i="25"/>
  <c r="AS29" i="25"/>
  <c r="AS46" i="25" s="1"/>
  <c r="AS5" i="25"/>
  <c r="AS14" i="25"/>
  <c r="AS19" i="25"/>
  <c r="AF19" i="25"/>
  <c r="AM27" i="25"/>
  <c r="AF29" i="25"/>
  <c r="AJ33" i="25"/>
  <c r="W46" i="25"/>
  <c r="L29" i="25"/>
  <c r="X29" i="25"/>
  <c r="AI46" i="25"/>
  <c r="K63" i="25"/>
  <c r="AM14" i="25" l="1"/>
  <c r="AM5" i="25"/>
  <c r="AT27" i="25"/>
  <c r="AM19" i="25"/>
  <c r="AF46" i="25"/>
  <c r="AK33" i="25"/>
  <c r="L46" i="25"/>
  <c r="X46" i="25"/>
  <c r="AJ29" i="25"/>
  <c r="M29" i="25"/>
  <c r="L63" i="25"/>
  <c r="AT14" i="25" l="1"/>
  <c r="AT5" i="25"/>
  <c r="AT29" i="25"/>
  <c r="AT46" i="25" s="1"/>
  <c r="AT19" i="25"/>
  <c r="AL33" i="25"/>
  <c r="M46" i="25"/>
  <c r="AJ46" i="25"/>
  <c r="M63" i="25"/>
  <c r="AM33" i="25" l="1"/>
  <c r="AN33" i="25" s="1"/>
  <c r="AO33" i="25" s="1"/>
  <c r="AP33" i="25" s="1"/>
  <c r="AQ33" i="25" s="1"/>
  <c r="AR33" i="25" s="1"/>
  <c r="AS33" i="25" s="1"/>
  <c r="AT33" i="25" s="1"/>
  <c r="Y29" i="25"/>
  <c r="AK29" i="25"/>
  <c r="N29" i="25"/>
  <c r="N63" i="25"/>
  <c r="Y46" i="25" l="1"/>
  <c r="N46" i="25"/>
  <c r="Z29" i="25"/>
  <c r="AK46" i="25"/>
  <c r="O63" i="25"/>
  <c r="Z46" i="25" l="1"/>
  <c r="AL29" i="25"/>
  <c r="O29" i="25"/>
  <c r="P63" i="25"/>
  <c r="O46" i="25" l="1"/>
  <c r="AA29" i="25"/>
  <c r="AL46" i="25"/>
  <c r="AA46" i="25" l="1"/>
  <c r="AM29" i="25"/>
  <c r="AM46" i="25" l="1"/>
  <c r="P29" i="25"/>
  <c r="P46" i="25" l="1"/>
  <c r="AB29" i="25"/>
  <c r="AB46" i="25" l="1"/>
  <c r="C33" i="5"/>
  <c r="D33" i="5"/>
  <c r="E33" i="5"/>
  <c r="F33" i="5"/>
  <c r="G33" i="5"/>
  <c r="H33" i="5"/>
  <c r="I33" i="5"/>
  <c r="J33" i="5"/>
  <c r="K33" i="5"/>
  <c r="L33" i="5"/>
  <c r="M33" i="5"/>
  <c r="N33" i="5"/>
  <c r="O33" i="5"/>
  <c r="P33" i="5"/>
  <c r="C34" i="5"/>
  <c r="D34" i="5"/>
  <c r="E34" i="5"/>
  <c r="F34" i="5"/>
  <c r="G34" i="5"/>
  <c r="H34" i="5"/>
  <c r="I34" i="5"/>
  <c r="J34" i="5"/>
  <c r="K34" i="5"/>
  <c r="L34" i="5"/>
  <c r="M34" i="5"/>
  <c r="N34" i="5"/>
  <c r="O34" i="5"/>
  <c r="P34" i="5"/>
  <c r="C35" i="5"/>
  <c r="D35" i="5"/>
  <c r="E35" i="5"/>
  <c r="F35" i="5"/>
  <c r="G35" i="5"/>
  <c r="H35" i="5"/>
  <c r="I35" i="5"/>
  <c r="J35" i="5"/>
  <c r="K35" i="5"/>
  <c r="L35" i="5"/>
  <c r="M35" i="5"/>
  <c r="N35" i="5"/>
  <c r="O35" i="5"/>
  <c r="P35" i="5"/>
  <c r="C36" i="5"/>
  <c r="D36" i="5"/>
  <c r="E36" i="5"/>
  <c r="F36" i="5"/>
  <c r="G36" i="5"/>
  <c r="H36" i="5"/>
  <c r="I36" i="5"/>
  <c r="J36" i="5"/>
  <c r="K36" i="5"/>
  <c r="L36" i="5"/>
  <c r="M36" i="5"/>
  <c r="N36" i="5"/>
  <c r="O36" i="5"/>
  <c r="P36" i="5"/>
  <c r="C37" i="5"/>
  <c r="D37" i="5"/>
  <c r="E37" i="5"/>
  <c r="F37" i="5"/>
  <c r="G37" i="5"/>
  <c r="H37" i="5"/>
  <c r="I37" i="5"/>
  <c r="J37" i="5"/>
  <c r="K37" i="5"/>
  <c r="L37" i="5"/>
  <c r="M37" i="5"/>
  <c r="N37" i="5"/>
  <c r="O37" i="5"/>
  <c r="P37" i="5"/>
  <c r="D32" i="5"/>
  <c r="G32" i="5"/>
  <c r="B198" i="11" l="1"/>
  <c r="B197" i="11"/>
  <c r="B196" i="11"/>
  <c r="B195" i="11"/>
  <c r="B194" i="11"/>
  <c r="B193" i="11"/>
  <c r="B192" i="11"/>
  <c r="E106" i="26" l="1"/>
  <c r="E102" i="26"/>
  <c r="E108" i="26" l="1"/>
  <c r="E104" i="26"/>
  <c r="E107" i="26"/>
  <c r="E103" i="26"/>
  <c r="E109" i="26"/>
  <c r="E105" i="26"/>
  <c r="G102" i="26"/>
  <c r="I102" i="26" s="1"/>
  <c r="G106" i="26"/>
  <c r="I106" i="26" s="1"/>
  <c r="G108" i="26" l="1"/>
  <c r="I108" i="26" s="1"/>
  <c r="G105" i="26"/>
  <c r="I105" i="26" s="1"/>
  <c r="G104" i="26"/>
  <c r="I104" i="26" s="1"/>
  <c r="G107" i="26"/>
  <c r="I107" i="26" s="1"/>
  <c r="G109" i="26"/>
  <c r="I109" i="26" s="1"/>
  <c r="G103" i="26"/>
  <c r="I103" i="26" s="1"/>
  <c r="I101" i="26" l="1"/>
  <c r="D30" i="7" l="1"/>
  <c r="E30" i="26" l="1"/>
  <c r="G30" i="26" s="1"/>
  <c r="P32" i="5"/>
  <c r="O32" i="5"/>
  <c r="N32" i="5"/>
  <c r="M32" i="5"/>
  <c r="L32" i="5"/>
  <c r="K32" i="5"/>
  <c r="J32" i="5"/>
  <c r="I32" i="5"/>
  <c r="H32" i="5"/>
  <c r="F32" i="5"/>
  <c r="E32" i="5"/>
  <c r="C32" i="5"/>
  <c r="I30" i="26" l="1"/>
  <c r="E93" i="26" l="1"/>
  <c r="E125" i="26" l="1"/>
  <c r="G125" i="26" s="1"/>
  <c r="E126" i="26"/>
  <c r="G126" i="26" s="1"/>
  <c r="E127" i="26"/>
  <c r="G127" i="26" s="1"/>
  <c r="C61" i="5" l="1"/>
  <c r="E70" i="5"/>
  <c r="E73" i="5" s="1"/>
  <c r="E74" i="5" s="1"/>
  <c r="D70" i="5"/>
  <c r="D73" i="5" s="1"/>
  <c r="D74" i="5" s="1"/>
  <c r="E62" i="5"/>
  <c r="E63" i="5" s="1"/>
  <c r="C70" i="5"/>
  <c r="C73" i="5" s="1"/>
  <c r="C74" i="5" s="1"/>
  <c r="AN47" i="25"/>
  <c r="AQ47" i="25"/>
  <c r="AR47" i="25"/>
  <c r="AO47" i="25"/>
  <c r="AP47" i="25"/>
  <c r="AS47" i="25"/>
  <c r="AT47" i="25"/>
  <c r="AT32" i="25"/>
  <c r="AT34" i="25" s="1"/>
  <c r="AT35" i="25" s="1"/>
  <c r="AN32" i="25"/>
  <c r="AN34" i="25" s="1"/>
  <c r="AN35" i="25" s="1"/>
  <c r="AS32" i="25"/>
  <c r="AS34" i="25" s="1"/>
  <c r="AS35" i="25" s="1"/>
  <c r="AP32" i="25"/>
  <c r="AP34" i="25" s="1"/>
  <c r="AP35" i="25" s="1"/>
  <c r="AQ32" i="25"/>
  <c r="AQ34" i="25" s="1"/>
  <c r="AQ35" i="25" s="1"/>
  <c r="AR32" i="25"/>
  <c r="AR34" i="25" s="1"/>
  <c r="AR35" i="25" s="1"/>
  <c r="AO32" i="25"/>
  <c r="AO34" i="25" s="1"/>
  <c r="AO35" i="25" s="1"/>
  <c r="E47" i="25"/>
  <c r="F47" i="25"/>
  <c r="G47" i="25"/>
  <c r="S47" i="25"/>
  <c r="T47" i="25"/>
  <c r="H47" i="25"/>
  <c r="I47" i="25"/>
  <c r="AC47" i="25"/>
  <c r="U47" i="25"/>
  <c r="J47" i="25"/>
  <c r="AG47" i="25"/>
  <c r="Q47" i="25"/>
  <c r="AD47" i="25"/>
  <c r="R47" i="25"/>
  <c r="AH47" i="25"/>
  <c r="V47" i="25"/>
  <c r="K47" i="25"/>
  <c r="AE47" i="25"/>
  <c r="W47" i="25"/>
  <c r="AI47" i="25"/>
  <c r="L47" i="25"/>
  <c r="X47" i="25"/>
  <c r="AF47" i="25"/>
  <c r="M47" i="25"/>
  <c r="AJ47" i="25"/>
  <c r="AK47" i="25"/>
  <c r="N47" i="25"/>
  <c r="Y47" i="25"/>
  <c r="Z47" i="25"/>
  <c r="O47" i="25"/>
  <c r="AL47" i="25"/>
  <c r="AA47" i="25"/>
  <c r="AM47" i="25"/>
  <c r="P47" i="25"/>
  <c r="AB47" i="25"/>
  <c r="AD32" i="25"/>
  <c r="AD34" i="25" s="1"/>
  <c r="AD35" i="25" s="1"/>
  <c r="G32" i="25"/>
  <c r="G34" i="25" s="1"/>
  <c r="E32" i="25"/>
  <c r="E34" i="25" s="1"/>
  <c r="E35" i="25" s="1"/>
  <c r="J32" i="25"/>
  <c r="J34" i="25" s="1"/>
  <c r="J35" i="25" s="1"/>
  <c r="K32" i="25"/>
  <c r="K34" i="25" s="1"/>
  <c r="K35" i="25" s="1"/>
  <c r="S32" i="25"/>
  <c r="S34" i="25" s="1"/>
  <c r="S35" i="25" s="1"/>
  <c r="AH32" i="25"/>
  <c r="AH34" i="25" s="1"/>
  <c r="AH35" i="25" s="1"/>
  <c r="F32" i="25"/>
  <c r="F34" i="25" s="1"/>
  <c r="AC32" i="25"/>
  <c r="AC34" i="25" s="1"/>
  <c r="AC35" i="25" s="1"/>
  <c r="T32" i="25"/>
  <c r="T34" i="25" s="1"/>
  <c r="T35" i="25" s="1"/>
  <c r="AG32" i="25"/>
  <c r="AG34" i="25" s="1"/>
  <c r="AG35" i="25" s="1"/>
  <c r="H32" i="25"/>
  <c r="H34" i="25" s="1"/>
  <c r="U32" i="25"/>
  <c r="U34" i="25" s="1"/>
  <c r="U35" i="25" s="1"/>
  <c r="I32" i="25"/>
  <c r="I34" i="25" s="1"/>
  <c r="V32" i="25"/>
  <c r="V34" i="25" s="1"/>
  <c r="V35" i="25" s="1"/>
  <c r="Q32" i="25"/>
  <c r="Q34" i="25" s="1"/>
  <c r="Q35" i="25" s="1"/>
  <c r="R32" i="25"/>
  <c r="R34" i="25" s="1"/>
  <c r="R35" i="25" s="1"/>
  <c r="AE32" i="25"/>
  <c r="AE34" i="25" s="1"/>
  <c r="AE35" i="25" s="1"/>
  <c r="AI32" i="25"/>
  <c r="AI34" i="25" s="1"/>
  <c r="AI35" i="25" s="1"/>
  <c r="W32" i="25"/>
  <c r="W34" i="25" s="1"/>
  <c r="W35" i="25" s="1"/>
  <c r="X32" i="25"/>
  <c r="X34" i="25" s="1"/>
  <c r="X35" i="25" s="1"/>
  <c r="AF32" i="25"/>
  <c r="AF34" i="25" s="1"/>
  <c r="AF35" i="25" s="1"/>
  <c r="L32" i="25"/>
  <c r="L34" i="25" s="1"/>
  <c r="L35" i="25" s="1"/>
  <c r="AJ32" i="25"/>
  <c r="AJ34" i="25" s="1"/>
  <c r="AJ35" i="25" s="1"/>
  <c r="M32" i="25"/>
  <c r="M34" i="25" s="1"/>
  <c r="M35" i="25" s="1"/>
  <c r="N32" i="25"/>
  <c r="N34" i="25" s="1"/>
  <c r="N35" i="25" s="1"/>
  <c r="AK32" i="25"/>
  <c r="AK34" i="25" s="1"/>
  <c r="AK35" i="25" s="1"/>
  <c r="Y32" i="25"/>
  <c r="Y34" i="25" s="1"/>
  <c r="Y35" i="25" s="1"/>
  <c r="Z32" i="25"/>
  <c r="Z34" i="25" s="1"/>
  <c r="Z35" i="25" s="1"/>
  <c r="O32" i="25"/>
  <c r="O34" i="25" s="1"/>
  <c r="O35" i="25" s="1"/>
  <c r="AL32" i="25"/>
  <c r="AL34" i="25" s="1"/>
  <c r="AL35" i="25" s="1"/>
  <c r="AA32" i="25"/>
  <c r="AA34" i="25" s="1"/>
  <c r="AA35" i="25" s="1"/>
  <c r="AM32" i="25"/>
  <c r="AM34" i="25" s="1"/>
  <c r="AM35" i="25" s="1"/>
  <c r="P32" i="25"/>
  <c r="P34" i="25" s="1"/>
  <c r="P35" i="25" s="1"/>
  <c r="AB32" i="25"/>
  <c r="AB34" i="25" s="1"/>
  <c r="AB35" i="25" s="1"/>
  <c r="N36" i="25" l="1"/>
  <c r="N37" i="25" s="1"/>
  <c r="N67" i="25" s="1"/>
  <c r="AT36" i="25"/>
  <c r="AT37" i="25" s="1"/>
  <c r="AT67" i="25" s="1"/>
  <c r="L36" i="25"/>
  <c r="L37" i="25" s="1"/>
  <c r="L67" i="25" s="1"/>
  <c r="AC36" i="25"/>
  <c r="AC37" i="25" s="1"/>
  <c r="AC67" i="25" s="1"/>
  <c r="P36" i="25"/>
  <c r="P37" i="25" s="1"/>
  <c r="P67" i="25" s="1"/>
  <c r="K36" i="25"/>
  <c r="K37" i="25" s="1"/>
  <c r="K67" i="25" s="1"/>
  <c r="AE36" i="25"/>
  <c r="AE37" i="25" s="1"/>
  <c r="AE67" i="25" s="1"/>
  <c r="AL36" i="25"/>
  <c r="AL37" i="25" s="1"/>
  <c r="AL67" i="25" s="1"/>
  <c r="R36" i="25"/>
  <c r="R37" i="25" s="1"/>
  <c r="R67" i="25" s="1"/>
  <c r="AR36" i="25"/>
  <c r="AR37" i="25" s="1"/>
  <c r="AR67" i="25" s="1"/>
  <c r="AB36" i="25"/>
  <c r="AB37" i="25" s="1"/>
  <c r="AB67" i="25" s="1"/>
  <c r="AM36" i="25"/>
  <c r="AM37" i="25" s="1"/>
  <c r="AM67" i="25" s="1"/>
  <c r="J36" i="25"/>
  <c r="J37" i="25" s="1"/>
  <c r="J67" i="25" s="1"/>
  <c r="O36" i="25"/>
  <c r="O37" i="25" s="1"/>
  <c r="O67" i="25" s="1"/>
  <c r="Q36" i="25"/>
  <c r="Q37" i="25" s="1"/>
  <c r="Q67" i="25" s="1"/>
  <c r="G36" i="25"/>
  <c r="G37" i="25" s="1"/>
  <c r="G67" i="25" s="1"/>
  <c r="G35" i="25"/>
  <c r="AQ36" i="25"/>
  <c r="AQ37" i="25" s="1"/>
  <c r="AQ67" i="25" s="1"/>
  <c r="H36" i="25"/>
  <c r="H37" i="25" s="1"/>
  <c r="H67" i="25" s="1"/>
  <c r="H35" i="25"/>
  <c r="T36" i="25"/>
  <c r="T37" i="25" s="1"/>
  <c r="T67" i="25" s="1"/>
  <c r="F36" i="25"/>
  <c r="F37" i="25" s="1"/>
  <c r="F67" i="25" s="1"/>
  <c r="F35" i="25"/>
  <c r="AH36" i="25"/>
  <c r="AH37" i="25" s="1"/>
  <c r="AH67" i="25" s="1"/>
  <c r="W36" i="25"/>
  <c r="W37" i="25" s="1"/>
  <c r="W67" i="25" s="1"/>
  <c r="AI36" i="25"/>
  <c r="AI37" i="25" s="1"/>
  <c r="AI67" i="25" s="1"/>
  <c r="Z36" i="25"/>
  <c r="Z37" i="25" s="1"/>
  <c r="Z67" i="25" s="1"/>
  <c r="V36" i="25"/>
  <c r="V37" i="25" s="1"/>
  <c r="V67" i="25" s="1"/>
  <c r="AD36" i="25"/>
  <c r="AD37" i="25" s="1"/>
  <c r="AD67" i="25" s="1"/>
  <c r="AP36" i="25"/>
  <c r="AP37" i="25" s="1"/>
  <c r="AP67" i="25" s="1"/>
  <c r="AJ36" i="25"/>
  <c r="AJ37" i="25" s="1"/>
  <c r="AJ67" i="25" s="1"/>
  <c r="AA36" i="25"/>
  <c r="AA37" i="25" s="1"/>
  <c r="AA67" i="25" s="1"/>
  <c r="AO36" i="25"/>
  <c r="AO37" i="25" s="1"/>
  <c r="AO67" i="25" s="1"/>
  <c r="Y36" i="25"/>
  <c r="Y37" i="25" s="1"/>
  <c r="Y67" i="25" s="1"/>
  <c r="I36" i="25"/>
  <c r="I37" i="25" s="1"/>
  <c r="I67" i="25" s="1"/>
  <c r="I35" i="25"/>
  <c r="AS36" i="25"/>
  <c r="AS37" i="25" s="1"/>
  <c r="AS67" i="25" s="1"/>
  <c r="M36" i="25"/>
  <c r="M37" i="25" s="1"/>
  <c r="M67" i="25" s="1"/>
  <c r="AG36" i="25"/>
  <c r="AG37" i="25" s="1"/>
  <c r="AG67" i="25" s="1"/>
  <c r="AF36" i="25"/>
  <c r="AF37" i="25" s="1"/>
  <c r="AF67" i="25" s="1"/>
  <c r="X36" i="25"/>
  <c r="X37" i="25" s="1"/>
  <c r="X67" i="25" s="1"/>
  <c r="S36" i="25"/>
  <c r="S37" i="25" s="1"/>
  <c r="S67" i="25" s="1"/>
  <c r="AK36" i="25"/>
  <c r="AK37" i="25" s="1"/>
  <c r="AK67" i="25" s="1"/>
  <c r="U36" i="25"/>
  <c r="U37" i="25" s="1"/>
  <c r="U67" i="25" s="1"/>
  <c r="AN36" i="25"/>
  <c r="AN37" i="25" s="1"/>
  <c r="AN67" i="25" s="1"/>
  <c r="C75" i="5"/>
  <c r="D75" i="5"/>
  <c r="E75" i="5"/>
  <c r="E36" i="25"/>
  <c r="E37" i="25" s="1"/>
  <c r="E67" i="25" s="1"/>
  <c r="B40" i="19"/>
  <c r="B41" i="19" s="1"/>
  <c r="B42" i="19" s="1"/>
  <c r="B51" i="19" l="1"/>
  <c r="B53" i="19" s="1"/>
  <c r="B56" i="19" s="1"/>
  <c r="B57" i="19" s="1"/>
  <c r="B19" i="11"/>
  <c r="B20" i="11"/>
  <c r="B21" i="11"/>
  <c r="B22" i="11"/>
  <c r="B23" i="11"/>
  <c r="B24" i="11"/>
  <c r="C25" i="11"/>
  <c r="B25" i="11" s="1"/>
  <c r="B82" i="19" l="1"/>
  <c r="B84" i="19" s="1"/>
  <c r="C26" i="11"/>
  <c r="B26" i="11" l="1"/>
  <c r="C27" i="11"/>
  <c r="B27" i="11" l="1"/>
  <c r="C28" i="11"/>
  <c r="B28" i="11" l="1"/>
  <c r="C29" i="11"/>
  <c r="B29" i="11" l="1"/>
  <c r="C30" i="11"/>
  <c r="C31" i="11" l="1"/>
  <c r="B30" i="11"/>
  <c r="B32" i="11" l="1"/>
  <c r="C32" i="11"/>
  <c r="B31" i="11"/>
  <c r="C31" i="5" l="1" a="1"/>
  <c r="B7" i="19" l="1"/>
  <c r="C56" i="5" l="1"/>
  <c r="D56" i="5"/>
  <c r="C62" i="5"/>
  <c r="C63" i="5" s="1"/>
  <c r="D61" i="5"/>
  <c r="D62" i="5" s="1"/>
  <c r="D63" i="5" s="1"/>
  <c r="C84" i="5"/>
  <c r="D66" i="5"/>
  <c r="C66" i="5"/>
  <c r="D26" i="26" l="1"/>
  <c r="H26" i="26" s="1"/>
  <c r="B2" i="12" l="1"/>
  <c r="B43" i="7" l="1"/>
  <c r="B2" i="11" l="1"/>
  <c r="B2" i="7"/>
  <c r="B2" i="5"/>
  <c r="C2" i="4"/>
  <c r="C31" i="5" l="1"/>
  <c r="D28" i="26"/>
  <c r="H28" i="26" s="1"/>
  <c r="AG59" i="25" l="1"/>
  <c r="AQ68" i="25"/>
  <c r="AQ69" i="25" s="1"/>
  <c r="AQ12" i="25" s="1"/>
  <c r="X38" i="25"/>
  <c r="H19" i="26"/>
  <c r="D25" i="26"/>
  <c r="H25" i="26" s="1"/>
  <c r="AP68" i="25" l="1"/>
  <c r="AP69" i="25" s="1"/>
  <c r="AP12" i="25" s="1"/>
  <c r="AG68" i="25"/>
  <c r="AG69" i="25" s="1"/>
  <c r="AG12" i="25" s="1"/>
  <c r="Q68" i="25"/>
  <c r="Q69" i="25" s="1"/>
  <c r="Q12" i="25" s="1"/>
  <c r="H68" i="25"/>
  <c r="H69" i="25" s="1"/>
  <c r="H12" i="25" s="1"/>
  <c r="AH68" i="25"/>
  <c r="AH69" i="25" s="1"/>
  <c r="AH12" i="25" s="1"/>
  <c r="AG38" i="25"/>
  <c r="Y38" i="25"/>
  <c r="AI38" i="25"/>
  <c r="G38" i="25"/>
  <c r="M38" i="25"/>
  <c r="I38" i="25"/>
  <c r="J38" i="25"/>
  <c r="U38" i="25"/>
  <c r="AD38" i="25"/>
  <c r="AC68" i="25"/>
  <c r="AC69" i="25" s="1"/>
  <c r="AC12" i="25" s="1"/>
  <c r="AI68" i="25"/>
  <c r="AI69" i="25" s="1"/>
  <c r="AI12" i="25" s="1"/>
  <c r="F38" i="25"/>
  <c r="AP38" i="25"/>
  <c r="AA68" i="25"/>
  <c r="AA69" i="25" s="1"/>
  <c r="AA12" i="25" s="1"/>
  <c r="AK38" i="25"/>
  <c r="E68" i="25"/>
  <c r="E69" i="25" s="1"/>
  <c r="E12" i="25" s="1"/>
  <c r="AT38" i="25"/>
  <c r="Z68" i="25"/>
  <c r="Z69" i="25" s="1"/>
  <c r="Z12" i="25" s="1"/>
  <c r="S68" i="25"/>
  <c r="S69" i="25" s="1"/>
  <c r="S12" i="25" s="1"/>
  <c r="T38" i="25"/>
  <c r="Y68" i="25"/>
  <c r="Y69" i="25" s="1"/>
  <c r="Y12" i="25" s="1"/>
  <c r="AM68" i="25"/>
  <c r="AM69" i="25" s="1"/>
  <c r="AM12" i="25" s="1"/>
  <c r="R38" i="25"/>
  <c r="W68" i="25"/>
  <c r="W69" i="25" s="1"/>
  <c r="W12" i="25" s="1"/>
  <c r="F68" i="25"/>
  <c r="F69" i="25" s="1"/>
  <c r="F12" i="25" s="1"/>
  <c r="AA38" i="25"/>
  <c r="V68" i="25"/>
  <c r="V69" i="25" s="1"/>
  <c r="V12" i="25" s="1"/>
  <c r="AR38" i="25"/>
  <c r="AK68" i="25"/>
  <c r="AK69" i="25" s="1"/>
  <c r="AK12" i="25" s="1"/>
  <c r="AH38" i="25"/>
  <c r="AO68" i="25"/>
  <c r="AO69" i="25" s="1"/>
  <c r="AO12" i="25" s="1"/>
  <c r="N38" i="25"/>
  <c r="AC38" i="25"/>
  <c r="L38" i="25"/>
  <c r="AS59" i="25"/>
  <c r="AF68" i="25"/>
  <c r="AF69" i="25" s="1"/>
  <c r="AF12" i="25" s="1"/>
  <c r="T68" i="25"/>
  <c r="T69" i="25" s="1"/>
  <c r="T12" i="25" s="1"/>
  <c r="AD68" i="25"/>
  <c r="AD69" i="25" s="1"/>
  <c r="AD12" i="25" s="1"/>
  <c r="P38" i="25"/>
  <c r="Q38" i="25"/>
  <c r="AN38" i="25"/>
  <c r="AR59" i="25"/>
  <c r="K68" i="25"/>
  <c r="K69" i="25" s="1"/>
  <c r="K12" i="25" s="1"/>
  <c r="X68" i="25"/>
  <c r="X69" i="25" s="1"/>
  <c r="X12" i="25" s="1"/>
  <c r="AL68" i="25"/>
  <c r="AL69" i="25" s="1"/>
  <c r="AL12" i="25" s="1"/>
  <c r="AS38" i="25"/>
  <c r="AB38" i="25"/>
  <c r="AL38" i="25"/>
  <c r="AT68" i="25"/>
  <c r="AT69" i="25" s="1"/>
  <c r="AT12" i="25" s="1"/>
  <c r="AJ68" i="25"/>
  <c r="AJ69" i="25" s="1"/>
  <c r="AJ12" i="25" s="1"/>
  <c r="AE68" i="25"/>
  <c r="AE69" i="25" s="1"/>
  <c r="AE12" i="25" s="1"/>
  <c r="Z38" i="25"/>
  <c r="E38" i="25"/>
  <c r="AJ38" i="25"/>
  <c r="G68" i="25"/>
  <c r="G69" i="25" s="1"/>
  <c r="G12" i="25" s="1"/>
  <c r="AN68" i="25"/>
  <c r="AN69" i="25" s="1"/>
  <c r="AN12" i="25" s="1"/>
  <c r="AB68" i="25"/>
  <c r="AB69" i="25" s="1"/>
  <c r="AB12" i="25" s="1"/>
  <c r="AO38" i="25"/>
  <c r="AF38" i="25"/>
  <c r="AE38" i="25"/>
  <c r="M68" i="25"/>
  <c r="M69" i="25" s="1"/>
  <c r="M12" i="25" s="1"/>
  <c r="R68" i="25"/>
  <c r="R69" i="25" s="1"/>
  <c r="R12" i="25" s="1"/>
  <c r="L68" i="25"/>
  <c r="L69" i="25" s="1"/>
  <c r="L12" i="25" s="1"/>
  <c r="H38" i="25"/>
  <c r="O38" i="25"/>
  <c r="K38" i="25"/>
  <c r="N68" i="25"/>
  <c r="N69" i="25" s="1"/>
  <c r="N12" i="25" s="1"/>
  <c r="AS68" i="25"/>
  <c r="AS69" i="25" s="1"/>
  <c r="AS12" i="25" s="1"/>
  <c r="O68" i="25"/>
  <c r="O69" i="25" s="1"/>
  <c r="O12" i="25" s="1"/>
  <c r="W38" i="25"/>
  <c r="AQ38" i="25"/>
  <c r="S38" i="25"/>
  <c r="AR68" i="25"/>
  <c r="AR69" i="25" s="1"/>
  <c r="AR12" i="25" s="1"/>
  <c r="P68" i="25"/>
  <c r="P69" i="25" s="1"/>
  <c r="P12" i="25" s="1"/>
  <c r="I68" i="25"/>
  <c r="I69" i="25" s="1"/>
  <c r="I12" i="25" s="1"/>
  <c r="AM38" i="25"/>
  <c r="V38" i="25"/>
  <c r="U68" i="25"/>
  <c r="U69" i="25" s="1"/>
  <c r="U12" i="25" s="1"/>
  <c r="J68" i="25"/>
  <c r="J69" i="25" s="1"/>
  <c r="J12" i="25" s="1"/>
  <c r="AL59" i="25"/>
  <c r="E59" i="25"/>
  <c r="AA59" i="25"/>
  <c r="AE59" i="25"/>
  <c r="K59" i="25"/>
  <c r="R59" i="25"/>
  <c r="W59" i="25"/>
  <c r="AO59" i="25"/>
  <c r="V59" i="25"/>
  <c r="L59" i="25"/>
  <c r="AH59" i="25"/>
  <c r="AD59" i="25"/>
  <c r="AB59" i="25"/>
  <c r="Z59" i="25"/>
  <c r="AF59" i="25"/>
  <c r="AC59" i="25"/>
  <c r="N59" i="25"/>
  <c r="AI59" i="25"/>
  <c r="Y59" i="25"/>
  <c r="G59" i="25"/>
  <c r="AK59" i="25"/>
  <c r="T59" i="25"/>
  <c r="S59" i="25"/>
  <c r="AM59" i="25"/>
  <c r="F59" i="25"/>
  <c r="U59" i="25"/>
  <c r="H59" i="25"/>
  <c r="AQ59" i="25"/>
  <c r="X59" i="25"/>
  <c r="O59" i="25"/>
  <c r="J59" i="25"/>
  <c r="AT59" i="25"/>
  <c r="M59" i="25"/>
  <c r="P59" i="25"/>
  <c r="I59" i="25"/>
  <c r="AJ59" i="25"/>
  <c r="AP59" i="25"/>
  <c r="AN59" i="25"/>
  <c r="Q59" i="25"/>
  <c r="E39" i="26"/>
  <c r="G39" i="26" s="1"/>
  <c r="E17" i="26"/>
  <c r="G17" i="26" s="1"/>
  <c r="E14" i="26"/>
  <c r="AQ64" i="25"/>
  <c r="AQ11" i="25" s="1"/>
  <c r="AA64" i="25"/>
  <c r="AA11" i="25" s="1"/>
  <c r="AD64" i="25"/>
  <c r="AD11" i="25" s="1"/>
  <c r="AR64" i="25"/>
  <c r="AR11" i="25" s="1"/>
  <c r="AC64" i="25"/>
  <c r="AC11" i="25" s="1"/>
  <c r="Z64" i="25"/>
  <c r="Z11" i="25" s="1"/>
  <c r="AS64" i="25"/>
  <c r="AS11" i="25" s="1"/>
  <c r="AH64" i="25"/>
  <c r="AH11" i="25" s="1"/>
  <c r="AI64" i="25"/>
  <c r="AI11" i="25" s="1"/>
  <c r="F64" i="25"/>
  <c r="F11" i="25" s="1"/>
  <c r="AL64" i="25"/>
  <c r="AL11" i="25" s="1"/>
  <c r="AO64" i="25"/>
  <c r="AO11" i="25" s="1"/>
  <c r="G64" i="25"/>
  <c r="G11" i="25" s="1"/>
  <c r="S64" i="25"/>
  <c r="S11" i="25" s="1"/>
  <c r="X64" i="25"/>
  <c r="X11" i="25" s="1"/>
  <c r="AT64" i="25"/>
  <c r="AT11" i="25" s="1"/>
  <c r="M64" i="25"/>
  <c r="M11" i="25" s="1"/>
  <c r="AM64" i="25"/>
  <c r="AM11" i="25" s="1"/>
  <c r="K64" i="25"/>
  <c r="K11" i="25" s="1"/>
  <c r="O64" i="25"/>
  <c r="O11" i="25" s="1"/>
  <c r="AF64" i="25"/>
  <c r="AF11" i="25" s="1"/>
  <c r="U64" i="25"/>
  <c r="U11" i="25" s="1"/>
  <c r="I64" i="25"/>
  <c r="I11" i="25" s="1"/>
  <c r="Y64" i="25"/>
  <c r="Y11" i="25" s="1"/>
  <c r="W64" i="25"/>
  <c r="W11" i="25" s="1"/>
  <c r="AE64" i="25"/>
  <c r="AE11" i="25" s="1"/>
  <c r="AK64" i="25"/>
  <c r="AK11" i="25" s="1"/>
  <c r="H64" i="25"/>
  <c r="H11" i="25" s="1"/>
  <c r="Q64" i="25"/>
  <c r="Q11" i="25" s="1"/>
  <c r="E64" i="25"/>
  <c r="E11" i="25" s="1"/>
  <c r="AB64" i="25"/>
  <c r="AB11" i="25" s="1"/>
  <c r="P64" i="25"/>
  <c r="P11" i="25" s="1"/>
  <c r="AJ64" i="25"/>
  <c r="AJ11" i="25" s="1"/>
  <c r="T64" i="25"/>
  <c r="T11" i="25" s="1"/>
  <c r="J64" i="25"/>
  <c r="J11" i="25" s="1"/>
  <c r="V64" i="25"/>
  <c r="V11" i="25" s="1"/>
  <c r="AN64" i="25"/>
  <c r="AN11" i="25" s="1"/>
  <c r="R64" i="25"/>
  <c r="R11" i="25" s="1"/>
  <c r="AG64" i="25"/>
  <c r="AG11" i="25" s="1"/>
  <c r="AP64" i="25"/>
  <c r="AP11" i="25" s="1"/>
  <c r="N64" i="25"/>
  <c r="N11" i="25" s="1"/>
  <c r="L64" i="25"/>
  <c r="L11" i="25" s="1"/>
  <c r="AT53" i="25"/>
  <c r="AT9" i="25" s="1"/>
  <c r="T53" i="25"/>
  <c r="T9" i="25" s="1"/>
  <c r="W53" i="25"/>
  <c r="W9" i="25" s="1"/>
  <c r="AC53" i="25"/>
  <c r="AC9" i="25" s="1"/>
  <c r="E53" i="25"/>
  <c r="E9" i="25" s="1"/>
  <c r="I53" i="25"/>
  <c r="I9" i="25" s="1"/>
  <c r="AD53" i="25"/>
  <c r="AD9" i="25" s="1"/>
  <c r="V53" i="25"/>
  <c r="V9" i="25" s="1"/>
  <c r="M53" i="25"/>
  <c r="M9" i="25" s="1"/>
  <c r="L53" i="25"/>
  <c r="L9" i="25" s="1"/>
  <c r="N53" i="25"/>
  <c r="N9" i="25" s="1"/>
  <c r="AJ53" i="25"/>
  <c r="AJ9" i="25" s="1"/>
  <c r="J53" i="25"/>
  <c r="J9" i="25" s="1"/>
  <c r="S53" i="25"/>
  <c r="S9" i="25" s="1"/>
  <c r="H53" i="25"/>
  <c r="H9" i="25" s="1"/>
  <c r="AH53" i="25"/>
  <c r="AH9" i="25" s="1"/>
  <c r="AM53" i="25"/>
  <c r="AM9" i="25" s="1"/>
  <c r="AO53" i="25"/>
  <c r="AO9" i="25" s="1"/>
  <c r="F53" i="25"/>
  <c r="F9" i="25" s="1"/>
  <c r="AI53" i="25"/>
  <c r="AI9" i="25" s="1"/>
  <c r="K53" i="25"/>
  <c r="K9" i="25" s="1"/>
  <c r="AS53" i="25"/>
  <c r="AS9" i="25" s="1"/>
  <c r="AF53" i="25"/>
  <c r="AF9" i="25" s="1"/>
  <c r="X53" i="25"/>
  <c r="X9" i="25" s="1"/>
  <c r="U53" i="25"/>
  <c r="U9" i="25" s="1"/>
  <c r="AE53" i="25"/>
  <c r="AE9" i="25" s="1"/>
  <c r="AL53" i="25"/>
  <c r="AL9" i="25" s="1"/>
  <c r="G53" i="25"/>
  <c r="G9" i="25" s="1"/>
  <c r="AA53" i="25"/>
  <c r="AA9" i="25" s="1"/>
  <c r="R53" i="25"/>
  <c r="R9" i="25" s="1"/>
  <c r="O53" i="25"/>
  <c r="O9" i="25" s="1"/>
  <c r="AB53" i="25"/>
  <c r="AB9" i="25" s="1"/>
  <c r="Z53" i="25"/>
  <c r="Z9" i="25" s="1"/>
  <c r="AK53" i="25"/>
  <c r="AK9" i="25" s="1"/>
  <c r="Y53" i="25"/>
  <c r="Y9" i="25" s="1"/>
  <c r="AG53" i="25"/>
  <c r="AG9" i="25" s="1"/>
  <c r="AN53" i="25"/>
  <c r="AN9" i="25" s="1"/>
  <c r="AP53" i="25"/>
  <c r="AP9" i="25" s="1"/>
  <c r="AQ53" i="25"/>
  <c r="AQ9" i="25" s="1"/>
  <c r="Q53" i="25"/>
  <c r="Q9" i="25" s="1"/>
  <c r="AR53" i="25"/>
  <c r="AR9" i="25" s="1"/>
  <c r="P53" i="25"/>
  <c r="P9" i="25" s="1"/>
  <c r="F48" i="25"/>
  <c r="F49" i="25" s="1"/>
  <c r="F8" i="25" s="1"/>
  <c r="O48" i="25"/>
  <c r="O49" i="25" s="1"/>
  <c r="O8" i="25" s="1"/>
  <c r="AB48" i="25"/>
  <c r="AB49" i="25" s="1"/>
  <c r="AB8" i="25" s="1"/>
  <c r="AI48" i="25"/>
  <c r="AI49" i="25" s="1"/>
  <c r="AI8" i="25" s="1"/>
  <c r="Q48" i="25"/>
  <c r="Q49" i="25" s="1"/>
  <c r="Q8" i="25" s="1"/>
  <c r="AQ48" i="25"/>
  <c r="AQ49" i="25" s="1"/>
  <c r="AQ8" i="25" s="1"/>
  <c r="U48" i="25"/>
  <c r="U49" i="25" s="1"/>
  <c r="U8" i="25" s="1"/>
  <c r="I48" i="25"/>
  <c r="I49" i="25" s="1"/>
  <c r="I8" i="25" s="1"/>
  <c r="L48" i="25"/>
  <c r="L49" i="25" s="1"/>
  <c r="L8" i="25" s="1"/>
  <c r="AN48" i="25"/>
  <c r="AN49" i="25" s="1"/>
  <c r="AN8" i="25" s="1"/>
  <c r="T48" i="25"/>
  <c r="T49" i="25" s="1"/>
  <c r="T8" i="25" s="1"/>
  <c r="N48" i="25"/>
  <c r="N49" i="25" s="1"/>
  <c r="N8" i="25" s="1"/>
  <c r="AD48" i="25"/>
  <c r="AD49" i="25" s="1"/>
  <c r="AD8" i="25" s="1"/>
  <c r="AR48" i="25"/>
  <c r="AR49" i="25" s="1"/>
  <c r="AR8" i="25" s="1"/>
  <c r="V48" i="25"/>
  <c r="V49" i="25" s="1"/>
  <c r="V8" i="25" s="1"/>
  <c r="AE48" i="25"/>
  <c r="AE49" i="25" s="1"/>
  <c r="AE8" i="25" s="1"/>
  <c r="AM48" i="25"/>
  <c r="AM49" i="25" s="1"/>
  <c r="AM8" i="25" s="1"/>
  <c r="AP48" i="25"/>
  <c r="AP49" i="25" s="1"/>
  <c r="AP8" i="25" s="1"/>
  <c r="Z48" i="25"/>
  <c r="Z49" i="25" s="1"/>
  <c r="Z8" i="25" s="1"/>
  <c r="X48" i="25"/>
  <c r="X49" i="25" s="1"/>
  <c r="X8" i="25" s="1"/>
  <c r="AJ48" i="25"/>
  <c r="AJ49" i="25" s="1"/>
  <c r="AJ8" i="25" s="1"/>
  <c r="AO48" i="25"/>
  <c r="AO49" i="25" s="1"/>
  <c r="AO8" i="25" s="1"/>
  <c r="AF48" i="25"/>
  <c r="AF49" i="25" s="1"/>
  <c r="AF8" i="25" s="1"/>
  <c r="AH48" i="25"/>
  <c r="AH49" i="25" s="1"/>
  <c r="AH8" i="25" s="1"/>
  <c r="K48" i="25"/>
  <c r="K49" i="25" s="1"/>
  <c r="K8" i="25" s="1"/>
  <c r="G48" i="25"/>
  <c r="G49" i="25" s="1"/>
  <c r="G8" i="25" s="1"/>
  <c r="Y48" i="25"/>
  <c r="Y49" i="25" s="1"/>
  <c r="Y8" i="25" s="1"/>
  <c r="M48" i="25"/>
  <c r="M49" i="25" s="1"/>
  <c r="M8" i="25" s="1"/>
  <c r="AL48" i="25"/>
  <c r="AL49" i="25" s="1"/>
  <c r="AL8" i="25" s="1"/>
  <c r="J48" i="25"/>
  <c r="J49" i="25" s="1"/>
  <c r="J8" i="25" s="1"/>
  <c r="AS48" i="25"/>
  <c r="AS49" i="25" s="1"/>
  <c r="AS8" i="25" s="1"/>
  <c r="H48" i="25"/>
  <c r="H49" i="25" s="1"/>
  <c r="H8" i="25" s="1"/>
  <c r="AC48" i="25"/>
  <c r="AC49" i="25" s="1"/>
  <c r="AC8" i="25" s="1"/>
  <c r="AT48" i="25"/>
  <c r="AT49" i="25" s="1"/>
  <c r="AT8" i="25" s="1"/>
  <c r="R48" i="25"/>
  <c r="R49" i="25" s="1"/>
  <c r="R8" i="25" s="1"/>
  <c r="AA48" i="25"/>
  <c r="AA49" i="25" s="1"/>
  <c r="AA8" i="25" s="1"/>
  <c r="E48" i="25"/>
  <c r="E49" i="25" s="1"/>
  <c r="E8" i="25" s="1"/>
  <c r="AK48" i="25"/>
  <c r="AK49" i="25" s="1"/>
  <c r="AK8" i="25" s="1"/>
  <c r="W48" i="25"/>
  <c r="W49" i="25" s="1"/>
  <c r="W8" i="25" s="1"/>
  <c r="S48" i="25"/>
  <c r="S49" i="25" s="1"/>
  <c r="S8" i="25" s="1"/>
  <c r="P48" i="25"/>
  <c r="P49" i="25" s="1"/>
  <c r="P8" i="25" s="1"/>
  <c r="AG48" i="25"/>
  <c r="AG49" i="25" s="1"/>
  <c r="AG8" i="25" s="1"/>
  <c r="E51" i="26" l="1"/>
  <c r="G51" i="26" s="1"/>
  <c r="I51" i="26" s="1"/>
  <c r="E52" i="26"/>
  <c r="G52" i="26" s="1"/>
  <c r="I52" i="26" s="1"/>
  <c r="E50" i="26"/>
  <c r="G50" i="26" s="1"/>
  <c r="I50" i="26" s="1"/>
  <c r="E49" i="26"/>
  <c r="G49" i="26" s="1"/>
  <c r="I49" i="26" s="1"/>
  <c r="E67" i="26"/>
  <c r="G67" i="26" s="1"/>
  <c r="E64" i="26"/>
  <c r="E65" i="26"/>
  <c r="G65" i="26" s="1"/>
  <c r="E68" i="26"/>
  <c r="G68" i="26" s="1"/>
  <c r="I39" i="26"/>
  <c r="E38" i="26"/>
  <c r="G38" i="26" s="1"/>
  <c r="I17" i="26"/>
  <c r="E39" i="25" l="1"/>
  <c r="AG39" i="25"/>
  <c r="S39" i="25"/>
  <c r="AQ39" i="25"/>
  <c r="AI39" i="25"/>
  <c r="U39" i="25"/>
  <c r="I39" i="25"/>
  <c r="O39" i="25"/>
  <c r="AJ39" i="25"/>
  <c r="AC39" i="25"/>
  <c r="AR39" i="25"/>
  <c r="P39" i="25"/>
  <c r="AS39" i="25"/>
  <c r="V39" i="25"/>
  <c r="R39" i="25"/>
  <c r="AM39" i="25"/>
  <c r="Q39" i="25"/>
  <c r="AD39" i="25"/>
  <c r="AB39" i="25"/>
  <c r="AA39" i="25"/>
  <c r="H39" i="25"/>
  <c r="N39" i="25"/>
  <c r="AF39" i="25"/>
  <c r="AO39" i="25"/>
  <c r="W39" i="25"/>
  <c r="AT39" i="25"/>
  <c r="F39" i="25"/>
  <c r="L39" i="25"/>
  <c r="AE39" i="25"/>
  <c r="J39" i="25"/>
  <c r="Z39" i="25"/>
  <c r="AH39" i="25"/>
  <c r="G39" i="25"/>
  <c r="M39" i="25"/>
  <c r="T39" i="25"/>
  <c r="X39" i="25"/>
  <c r="AL39" i="25"/>
  <c r="AN39" i="25"/>
  <c r="Y39" i="25"/>
  <c r="AP39" i="25"/>
  <c r="AK39" i="25"/>
  <c r="K39" i="25"/>
  <c r="E41" i="25"/>
  <c r="AD41" i="25"/>
  <c r="AR41" i="25"/>
  <c r="T41" i="25"/>
  <c r="AO41" i="25"/>
  <c r="AH41" i="25"/>
  <c r="X41" i="25"/>
  <c r="AG41" i="25"/>
  <c r="F41" i="25"/>
  <c r="I41" i="25"/>
  <c r="AC41" i="25"/>
  <c r="O41" i="25"/>
  <c r="W41" i="25"/>
  <c r="S41" i="25"/>
  <c r="AL41" i="25"/>
  <c r="AT41" i="25"/>
  <c r="H41" i="25"/>
  <c r="J41" i="25"/>
  <c r="AF41" i="25"/>
  <c r="U41" i="25"/>
  <c r="AI41" i="25"/>
  <c r="Q41" i="25"/>
  <c r="L41" i="25"/>
  <c r="AP41" i="25"/>
  <c r="AE41" i="25"/>
  <c r="AN41" i="25"/>
  <c r="Z41" i="25"/>
  <c r="P41" i="25"/>
  <c r="K41" i="25"/>
  <c r="V41" i="25"/>
  <c r="AQ41" i="25"/>
  <c r="AB41" i="25"/>
  <c r="G41" i="25"/>
  <c r="AS41" i="25"/>
  <c r="R41" i="25"/>
  <c r="AM41" i="25"/>
  <c r="N41" i="25"/>
  <c r="M41" i="25"/>
  <c r="Y41" i="25"/>
  <c r="AJ41" i="25"/>
  <c r="AA41" i="25"/>
  <c r="AK41" i="25"/>
  <c r="G58" i="25"/>
  <c r="G60" i="25" s="1"/>
  <c r="G10" i="25" s="1"/>
  <c r="AP58" i="25"/>
  <c r="AP60" i="25" s="1"/>
  <c r="AP10" i="25" s="1"/>
  <c r="AH58" i="25"/>
  <c r="AH60" i="25" s="1"/>
  <c r="AH10" i="25" s="1"/>
  <c r="V58" i="25"/>
  <c r="V60" i="25" s="1"/>
  <c r="V10" i="25" s="1"/>
  <c r="J58" i="25"/>
  <c r="J60" i="25" s="1"/>
  <c r="J10" i="25" s="1"/>
  <c r="P58" i="25"/>
  <c r="P60" i="25" s="1"/>
  <c r="P10" i="25" s="1"/>
  <c r="N58" i="25"/>
  <c r="N60" i="25" s="1"/>
  <c r="N10" i="25" s="1"/>
  <c r="AJ58" i="25"/>
  <c r="AJ60" i="25" s="1"/>
  <c r="AJ10" i="25" s="1"/>
  <c r="O58" i="25"/>
  <c r="O60" i="25" s="1"/>
  <c r="O10" i="25" s="1"/>
  <c r="Z58" i="25"/>
  <c r="Z60" i="25" s="1"/>
  <c r="Z10" i="25" s="1"/>
  <c r="AM58" i="25"/>
  <c r="AM60" i="25" s="1"/>
  <c r="AM10" i="25" s="1"/>
  <c r="R58" i="25"/>
  <c r="R60" i="25" s="1"/>
  <c r="R10" i="25" s="1"/>
  <c r="I58" i="25"/>
  <c r="I60" i="25" s="1"/>
  <c r="I10" i="25" s="1"/>
  <c r="U58" i="25"/>
  <c r="U60" i="25" s="1"/>
  <c r="U10" i="25" s="1"/>
  <c r="AQ58" i="25"/>
  <c r="AQ60" i="25" s="1"/>
  <c r="AQ10" i="25" s="1"/>
  <c r="AB58" i="25"/>
  <c r="AB60" i="25" s="1"/>
  <c r="AB10" i="25" s="1"/>
  <c r="AT58" i="25"/>
  <c r="AT60" i="25" s="1"/>
  <c r="AT10" i="25" s="1"/>
  <c r="Y58" i="25"/>
  <c r="Y60" i="25" s="1"/>
  <c r="Y10" i="25" s="1"/>
  <c r="X58" i="25"/>
  <c r="X60" i="25" s="1"/>
  <c r="X10" i="25" s="1"/>
  <c r="E58" i="25"/>
  <c r="E60" i="25" s="1"/>
  <c r="E10" i="25" s="1"/>
  <c r="W58" i="25"/>
  <c r="W60" i="25" s="1"/>
  <c r="W10" i="25" s="1"/>
  <c r="AD58" i="25"/>
  <c r="AD60" i="25" s="1"/>
  <c r="AD10" i="25" s="1"/>
  <c r="T58" i="25"/>
  <c r="T60" i="25" s="1"/>
  <c r="T10" i="25" s="1"/>
  <c r="AC58" i="25"/>
  <c r="AC60" i="25" s="1"/>
  <c r="AC10" i="25" s="1"/>
  <c r="AF58" i="25"/>
  <c r="AF60" i="25" s="1"/>
  <c r="AF10" i="25" s="1"/>
  <c r="L58" i="25"/>
  <c r="L60" i="25" s="1"/>
  <c r="L10" i="25" s="1"/>
  <c r="AE58" i="25"/>
  <c r="AE60" i="25" s="1"/>
  <c r="AE10" i="25" s="1"/>
  <c r="AN58" i="25"/>
  <c r="AN60" i="25" s="1"/>
  <c r="AN10" i="25" s="1"/>
  <c r="M58" i="25"/>
  <c r="M60" i="25" s="1"/>
  <c r="M10" i="25" s="1"/>
  <c r="AS58" i="25"/>
  <c r="AS60" i="25" s="1"/>
  <c r="AS10" i="25" s="1"/>
  <c r="Q58" i="25"/>
  <c r="Q60" i="25" s="1"/>
  <c r="Q10" i="25" s="1"/>
  <c r="AG58" i="25"/>
  <c r="AG60" i="25" s="1"/>
  <c r="AG10" i="25" s="1"/>
  <c r="AI58" i="25"/>
  <c r="AI60" i="25" s="1"/>
  <c r="AI10" i="25" s="1"/>
  <c r="AR58" i="25"/>
  <c r="AR60" i="25" s="1"/>
  <c r="AR10" i="25" s="1"/>
  <c r="AA58" i="25"/>
  <c r="AA60" i="25" s="1"/>
  <c r="AA10" i="25" s="1"/>
  <c r="K58" i="25"/>
  <c r="K60" i="25" s="1"/>
  <c r="K10" i="25" s="1"/>
  <c r="AL58" i="25"/>
  <c r="AL60" i="25" s="1"/>
  <c r="AL10" i="25" s="1"/>
  <c r="F58" i="25"/>
  <c r="F60" i="25" s="1"/>
  <c r="F10" i="25" s="1"/>
  <c r="AK58" i="25"/>
  <c r="AK60" i="25" s="1"/>
  <c r="AK10" i="25" s="1"/>
  <c r="H58" i="25"/>
  <c r="H60" i="25" s="1"/>
  <c r="H10" i="25" s="1"/>
  <c r="AO58" i="25"/>
  <c r="AO60" i="25" s="1"/>
  <c r="AO10" i="25" s="1"/>
  <c r="S58" i="25"/>
  <c r="S60" i="25" s="1"/>
  <c r="S10" i="25" s="1"/>
  <c r="N40" i="25"/>
  <c r="AS40" i="25"/>
  <c r="W40" i="25"/>
  <c r="Y40" i="25"/>
  <c r="AA40" i="25"/>
  <c r="AL40" i="25"/>
  <c r="F40" i="25"/>
  <c r="AE40" i="25"/>
  <c r="AP40" i="25"/>
  <c r="AJ40" i="25"/>
  <c r="O40" i="25"/>
  <c r="L40" i="25"/>
  <c r="AF40" i="25"/>
  <c r="AH40" i="25"/>
  <c r="M40" i="25"/>
  <c r="E40" i="25"/>
  <c r="AG40" i="25"/>
  <c r="Q40" i="25"/>
  <c r="AQ40" i="25"/>
  <c r="P40" i="25"/>
  <c r="AM40" i="25"/>
  <c r="AD40" i="25"/>
  <c r="R40" i="25"/>
  <c r="AT40" i="25"/>
  <c r="AO40" i="25"/>
  <c r="I40" i="25"/>
  <c r="AC40" i="25"/>
  <c r="J40" i="25"/>
  <c r="AI40" i="25"/>
  <c r="T40" i="25"/>
  <c r="AK40" i="25"/>
  <c r="AB40" i="25"/>
  <c r="S40" i="25"/>
  <c r="U40" i="25"/>
  <c r="X40" i="25"/>
  <c r="V40" i="25"/>
  <c r="Z40" i="25"/>
  <c r="AR40" i="25"/>
  <c r="H40" i="25"/>
  <c r="G40" i="25"/>
  <c r="AN40" i="25"/>
  <c r="K40" i="25"/>
  <c r="E10" i="26"/>
  <c r="E28" i="26"/>
  <c r="G28" i="26" s="1"/>
  <c r="I28" i="26" s="1"/>
  <c r="E66" i="26"/>
  <c r="G66" i="26" s="1"/>
  <c r="E11" i="26"/>
  <c r="E77" i="26"/>
  <c r="G77" i="26" s="1"/>
  <c r="I77" i="26" s="1"/>
  <c r="E76" i="26"/>
  <c r="G76" i="26" s="1"/>
  <c r="I76" i="26" s="1"/>
  <c r="I38" i="26"/>
  <c r="E16" i="26"/>
  <c r="G16" i="26" s="1"/>
  <c r="G93" i="26"/>
  <c r="I67" i="26"/>
  <c r="I65" i="26"/>
  <c r="I68" i="26"/>
  <c r="G64" i="26"/>
  <c r="E69" i="26" l="1"/>
  <c r="G69" i="26" s="1"/>
  <c r="E96" i="26"/>
  <c r="G96" i="26" s="1"/>
  <c r="E89" i="26"/>
  <c r="G89" i="26" s="1"/>
  <c r="I89" i="26" s="1"/>
  <c r="E88" i="26"/>
  <c r="G88" i="26" s="1"/>
  <c r="I88" i="26" s="1"/>
  <c r="E94" i="26"/>
  <c r="G94" i="26" s="1"/>
  <c r="E48" i="26"/>
  <c r="G48" i="26" s="1"/>
  <c r="I48" i="26" s="1"/>
  <c r="E95" i="26"/>
  <c r="G95" i="26" s="1"/>
  <c r="G42" i="25"/>
  <c r="G7" i="25" s="1"/>
  <c r="G15" i="25" s="1"/>
  <c r="G21" i="25" s="1"/>
  <c r="G22" i="25" s="1"/>
  <c r="G23" i="25" s="1"/>
  <c r="Q42" i="25"/>
  <c r="Q7" i="25" s="1"/>
  <c r="Q15" i="25" s="1"/>
  <c r="Q16" i="25" s="1"/>
  <c r="Q17" i="25" s="1"/>
  <c r="M42" i="25"/>
  <c r="M7" i="25" s="1"/>
  <c r="M15" i="25" s="1"/>
  <c r="M21" i="25" s="1"/>
  <c r="M22" i="25" s="1"/>
  <c r="M23" i="25" s="1"/>
  <c r="AL42" i="25"/>
  <c r="AL7" i="25" s="1"/>
  <c r="AL15" i="25" s="1"/>
  <c r="AL21" i="25" s="1"/>
  <c r="AL22" i="25" s="1"/>
  <c r="AL23" i="25" s="1"/>
  <c r="AI42" i="25"/>
  <c r="AI7" i="25" s="1"/>
  <c r="AI15" i="25" s="1"/>
  <c r="AI21" i="25" s="1"/>
  <c r="AI22" i="25" s="1"/>
  <c r="AI23" i="25" s="1"/>
  <c r="AQ42" i="25"/>
  <c r="AQ7" i="25" s="1"/>
  <c r="AQ15" i="25" s="1"/>
  <c r="AQ16" i="25" s="1"/>
  <c r="AQ17" i="25" s="1"/>
  <c r="I42" i="25"/>
  <c r="I7" i="25" s="1"/>
  <c r="I15" i="25" s="1"/>
  <c r="I16" i="25" s="1"/>
  <c r="I17" i="25" s="1"/>
  <c r="AT42" i="25"/>
  <c r="AT7" i="25" s="1"/>
  <c r="AT15" i="25" s="1"/>
  <c r="AT16" i="25" s="1"/>
  <c r="AT17" i="25" s="1"/>
  <c r="AD42" i="25"/>
  <c r="AD7" i="25" s="1"/>
  <c r="AD15" i="25" s="1"/>
  <c r="AD16" i="25" s="1"/>
  <c r="AD17" i="25" s="1"/>
  <c r="AG42" i="25"/>
  <c r="AG7" i="25" s="1"/>
  <c r="AG15" i="25" s="1"/>
  <c r="AG21" i="25" s="1"/>
  <c r="AG22" i="25" s="1"/>
  <c r="AG23" i="25" s="1"/>
  <c r="X42" i="25"/>
  <c r="X7" i="25" s="1"/>
  <c r="X15" i="25" s="1"/>
  <c r="X21" i="25" s="1"/>
  <c r="X22" i="25" s="1"/>
  <c r="X23" i="25" s="1"/>
  <c r="T42" i="25"/>
  <c r="T7" i="25" s="1"/>
  <c r="T15" i="25" s="1"/>
  <c r="AB42" i="25"/>
  <c r="AB7" i="25" s="1"/>
  <c r="AB15" i="25" s="1"/>
  <c r="AB21" i="25" s="1"/>
  <c r="AB22" i="25" s="1"/>
  <c r="AB23" i="25" s="1"/>
  <c r="R42" i="25"/>
  <c r="R7" i="25" s="1"/>
  <c r="R15" i="25" s="1"/>
  <c r="R21" i="25" s="1"/>
  <c r="R22" i="25" s="1"/>
  <c r="R23" i="25" s="1"/>
  <c r="AM42" i="25"/>
  <c r="AM7" i="25" s="1"/>
  <c r="AM15" i="25" s="1"/>
  <c r="U42" i="25"/>
  <c r="U7" i="25" s="1"/>
  <c r="U15" i="25" s="1"/>
  <c r="Y42" i="25"/>
  <c r="Y7" i="25" s="1"/>
  <c r="Y15" i="25" s="1"/>
  <c r="Y21" i="25" s="1"/>
  <c r="Y22" i="25" s="1"/>
  <c r="Y23" i="25" s="1"/>
  <c r="E42" i="25"/>
  <c r="E7" i="25" s="1"/>
  <c r="E15" i="25" s="1"/>
  <c r="E21" i="25" s="1"/>
  <c r="E22" i="25" s="1"/>
  <c r="N42" i="25"/>
  <c r="N7" i="25" s="1"/>
  <c r="N15" i="25" s="1"/>
  <c r="N21" i="25" s="1"/>
  <c r="N22" i="25" s="1"/>
  <c r="N23" i="25" s="1"/>
  <c r="O42" i="25"/>
  <c r="O7" i="25" s="1"/>
  <c r="O15" i="25" s="1"/>
  <c r="O16" i="25" s="1"/>
  <c r="O17" i="25" s="1"/>
  <c r="AJ42" i="25"/>
  <c r="AJ7" i="25" s="1"/>
  <c r="AJ15" i="25" s="1"/>
  <c r="AJ16" i="25" s="1"/>
  <c r="AJ17" i="25" s="1"/>
  <c r="AP42" i="25"/>
  <c r="AP7" i="25" s="1"/>
  <c r="AP15" i="25" s="1"/>
  <c r="AP21" i="25" s="1"/>
  <c r="AP22" i="25" s="1"/>
  <c r="AP23" i="25" s="1"/>
  <c r="AE42" i="25"/>
  <c r="AE7" i="25" s="1"/>
  <c r="AE15" i="25" s="1"/>
  <c r="AE16" i="25" s="1"/>
  <c r="AE17" i="25" s="1"/>
  <c r="J42" i="25"/>
  <c r="J7" i="25" s="1"/>
  <c r="J15" i="25" s="1"/>
  <c r="J16" i="25" s="1"/>
  <c r="J17" i="25" s="1"/>
  <c r="AH42" i="25"/>
  <c r="AH7" i="25" s="1"/>
  <c r="AH15" i="25" s="1"/>
  <c r="AH21" i="25" s="1"/>
  <c r="AH22" i="25" s="1"/>
  <c r="AH23" i="25" s="1"/>
  <c r="S42" i="25"/>
  <c r="S7" i="25" s="1"/>
  <c r="S15" i="25" s="1"/>
  <c r="K42" i="25"/>
  <c r="K7" i="25" s="1"/>
  <c r="K15" i="25" s="1"/>
  <c r="K16" i="25" s="1"/>
  <c r="K17" i="25" s="1"/>
  <c r="L42" i="25"/>
  <c r="L7" i="25" s="1"/>
  <c r="L15" i="25" s="1"/>
  <c r="L21" i="25" s="1"/>
  <c r="L22" i="25" s="1"/>
  <c r="L23" i="25" s="1"/>
  <c r="V42" i="25"/>
  <c r="V7" i="25" s="1"/>
  <c r="V15" i="25" s="1"/>
  <c r="V21" i="25" s="1"/>
  <c r="V22" i="25" s="1"/>
  <c r="V23" i="25" s="1"/>
  <c r="AN42" i="25"/>
  <c r="AN7" i="25" s="1"/>
  <c r="AN15" i="25" s="1"/>
  <c r="AN16" i="25" s="1"/>
  <c r="AN17" i="25" s="1"/>
  <c r="AF42" i="25"/>
  <c r="AF7" i="25" s="1"/>
  <c r="AF15" i="25" s="1"/>
  <c r="AF21" i="25" s="1"/>
  <c r="AF22" i="25" s="1"/>
  <c r="AF23" i="25" s="1"/>
  <c r="AA42" i="25"/>
  <c r="AA7" i="25" s="1"/>
  <c r="AA15" i="25" s="1"/>
  <c r="AA21" i="25" s="1"/>
  <c r="AA22" i="25" s="1"/>
  <c r="AA23" i="25" s="1"/>
  <c r="Z42" i="25"/>
  <c r="Z7" i="25" s="1"/>
  <c r="Z15" i="25" s="1"/>
  <c r="Z16" i="25" s="1"/>
  <c r="Z17" i="25" s="1"/>
  <c r="F42" i="25"/>
  <c r="F7" i="25" s="1"/>
  <c r="F15" i="25" s="1"/>
  <c r="F21" i="25" s="1"/>
  <c r="F22" i="25" s="1"/>
  <c r="F23" i="25" s="1"/>
  <c r="AS42" i="25"/>
  <c r="AS7" i="25" s="1"/>
  <c r="AS15" i="25" s="1"/>
  <c r="AS21" i="25" s="1"/>
  <c r="AS22" i="25" s="1"/>
  <c r="AS23" i="25" s="1"/>
  <c r="P42" i="25"/>
  <c r="P7" i="25" s="1"/>
  <c r="P15" i="25" s="1"/>
  <c r="P16" i="25" s="1"/>
  <c r="P17" i="25" s="1"/>
  <c r="H42" i="25"/>
  <c r="H7" i="25" s="1"/>
  <c r="H15" i="25" s="1"/>
  <c r="H16" i="25" s="1"/>
  <c r="H17" i="25" s="1"/>
  <c r="W42" i="25"/>
  <c r="W7" i="25" s="1"/>
  <c r="W15" i="25" s="1"/>
  <c r="W21" i="25" s="1"/>
  <c r="W22" i="25" s="1"/>
  <c r="W23" i="25" s="1"/>
  <c r="AR42" i="25"/>
  <c r="AR7" i="25" s="1"/>
  <c r="AR15" i="25" s="1"/>
  <c r="AR21" i="25" s="1"/>
  <c r="AR22" i="25" s="1"/>
  <c r="AR23" i="25" s="1"/>
  <c r="AO42" i="25"/>
  <c r="AO7" i="25" s="1"/>
  <c r="AO15" i="25" s="1"/>
  <c r="AO21" i="25" s="1"/>
  <c r="AO22" i="25" s="1"/>
  <c r="AO23" i="25" s="1"/>
  <c r="AC42" i="25"/>
  <c r="AC7" i="25" s="1"/>
  <c r="AC15" i="25" s="1"/>
  <c r="AC21" i="25" s="1"/>
  <c r="AC22" i="25" s="1"/>
  <c r="AC23" i="25" s="1"/>
  <c r="AK42" i="25"/>
  <c r="AK7" i="25" s="1"/>
  <c r="AK15" i="25" s="1"/>
  <c r="AK16" i="25" s="1"/>
  <c r="AK17" i="25" s="1"/>
  <c r="E72" i="26"/>
  <c r="E70" i="26"/>
  <c r="E71" i="26"/>
  <c r="G71" i="26" s="1"/>
  <c r="E35" i="26"/>
  <c r="G35" i="26" s="1"/>
  <c r="I93" i="26"/>
  <c r="I64" i="26"/>
  <c r="I66" i="26"/>
  <c r="I16" i="26"/>
  <c r="E97" i="26" l="1"/>
  <c r="G97" i="26" s="1"/>
  <c r="E75" i="26"/>
  <c r="G75" i="26" s="1"/>
  <c r="I75" i="26" s="1"/>
  <c r="E90" i="26"/>
  <c r="G90" i="26" s="1"/>
  <c r="I90" i="26" s="1"/>
  <c r="G16" i="25"/>
  <c r="G17" i="25" s="1"/>
  <c r="AF16" i="25"/>
  <c r="AF17" i="25" s="1"/>
  <c r="Q21" i="25"/>
  <c r="Q22" i="25" s="1"/>
  <c r="Q23" i="25" s="1"/>
  <c r="AI16" i="25"/>
  <c r="AI17" i="25" s="1"/>
  <c r="AD21" i="25"/>
  <c r="AD22" i="25" s="1"/>
  <c r="AD23" i="25" s="1"/>
  <c r="N16" i="25"/>
  <c r="N17" i="25" s="1"/>
  <c r="M16" i="25"/>
  <c r="M17" i="25" s="1"/>
  <c r="AP16" i="25"/>
  <c r="AP17" i="25" s="1"/>
  <c r="T16" i="25"/>
  <c r="T17" i="25" s="1"/>
  <c r="T21" i="25"/>
  <c r="T22" i="25" s="1"/>
  <c r="T23" i="25" s="1"/>
  <c r="AB16" i="25"/>
  <c r="AB17" i="25" s="1"/>
  <c r="I21" i="25"/>
  <c r="I22" i="25" s="1"/>
  <c r="I23" i="25" s="1"/>
  <c r="AS16" i="25"/>
  <c r="AS17" i="25" s="1"/>
  <c r="X16" i="25"/>
  <c r="X17" i="25" s="1"/>
  <c r="Y16" i="25"/>
  <c r="Y17" i="25" s="1"/>
  <c r="AG16" i="25"/>
  <c r="AG17" i="25" s="1"/>
  <c r="H21" i="25"/>
  <c r="H22" i="25" s="1"/>
  <c r="H23" i="25" s="1"/>
  <c r="U21" i="25"/>
  <c r="U22" i="25" s="1"/>
  <c r="U23" i="25" s="1"/>
  <c r="U16" i="25"/>
  <c r="U17" i="25" s="1"/>
  <c r="AM16" i="25"/>
  <c r="AM17" i="25" s="1"/>
  <c r="AM21" i="25"/>
  <c r="AM22" i="25" s="1"/>
  <c r="AM23" i="25" s="1"/>
  <c r="K21" i="25"/>
  <c r="K22" i="25" s="1"/>
  <c r="K23" i="25" s="1"/>
  <c r="AL16" i="25"/>
  <c r="AL17" i="25" s="1"/>
  <c r="P21" i="25"/>
  <c r="P22" i="25" s="1"/>
  <c r="P23" i="25" s="1"/>
  <c r="L16" i="25"/>
  <c r="L17" i="25" s="1"/>
  <c r="Z21" i="25"/>
  <c r="Z22" i="25" s="1"/>
  <c r="Z23" i="25" s="1"/>
  <c r="AJ21" i="25"/>
  <c r="AJ22" i="25" s="1"/>
  <c r="AJ23" i="25" s="1"/>
  <c r="F16" i="25"/>
  <c r="F17" i="25" s="1"/>
  <c r="AQ21" i="25"/>
  <c r="AQ22" i="25" s="1"/>
  <c r="AQ23" i="25" s="1"/>
  <c r="AK21" i="25"/>
  <c r="AK22" i="25" s="1"/>
  <c r="AK23" i="25" s="1"/>
  <c r="AA16" i="25"/>
  <c r="AA17" i="25" s="1"/>
  <c r="S21" i="25"/>
  <c r="S22" i="25" s="1"/>
  <c r="S23" i="25" s="1"/>
  <c r="S16" i="25"/>
  <c r="S17" i="25" s="1"/>
  <c r="O21" i="25"/>
  <c r="O22" i="25" s="1"/>
  <c r="O23" i="25" s="1"/>
  <c r="AE21" i="25"/>
  <c r="AE22" i="25" s="1"/>
  <c r="AE23" i="25" s="1"/>
  <c r="AH16" i="25"/>
  <c r="AH17" i="25" s="1"/>
  <c r="AR16" i="25"/>
  <c r="AR17" i="25" s="1"/>
  <c r="AO16" i="25"/>
  <c r="AO17" i="25" s="1"/>
  <c r="AT21" i="25"/>
  <c r="AT22" i="25" s="1"/>
  <c r="AT23" i="25" s="1"/>
  <c r="W16" i="25"/>
  <c r="W17" i="25" s="1"/>
  <c r="V16" i="25"/>
  <c r="V17" i="25" s="1"/>
  <c r="AC16" i="25"/>
  <c r="AC17" i="25" s="1"/>
  <c r="J21" i="25"/>
  <c r="J22" i="25" s="1"/>
  <c r="J23" i="25" s="1"/>
  <c r="AN21" i="25"/>
  <c r="AN22" i="25" s="1"/>
  <c r="AN23" i="25" s="1"/>
  <c r="R16" i="25"/>
  <c r="R17" i="25" s="1"/>
  <c r="E74" i="26"/>
  <c r="G74" i="26" s="1"/>
  <c r="I74" i="26" s="1"/>
  <c r="I35" i="26"/>
  <c r="I96" i="26"/>
  <c r="I95" i="26"/>
  <c r="I94" i="26"/>
  <c r="G10" i="26"/>
  <c r="G11" i="26"/>
  <c r="I71" i="26"/>
  <c r="I69" i="26"/>
  <c r="G72" i="26"/>
  <c r="G70" i="26"/>
  <c r="E16" i="25"/>
  <c r="E23" i="25"/>
  <c r="E41" i="26" l="1"/>
  <c r="E99" i="26"/>
  <c r="G99" i="26" s="1"/>
  <c r="I99" i="26" s="1"/>
  <c r="E98" i="26"/>
  <c r="G98" i="26" s="1"/>
  <c r="I98" i="26" s="1"/>
  <c r="E100" i="26"/>
  <c r="G100" i="26" s="1"/>
  <c r="I100" i="26" s="1"/>
  <c r="E22" i="26"/>
  <c r="G22" i="26" s="1"/>
  <c r="E21" i="26"/>
  <c r="G21" i="26" s="1"/>
  <c r="E91" i="26"/>
  <c r="G91" i="26" s="1"/>
  <c r="I97" i="26"/>
  <c r="E13" i="26"/>
  <c r="E12" i="26"/>
  <c r="E19" i="26"/>
  <c r="I70" i="26"/>
  <c r="I72" i="26"/>
  <c r="I11" i="26"/>
  <c r="I10" i="26"/>
  <c r="E17" i="25"/>
  <c r="E92" i="26" l="1"/>
  <c r="G92" i="26" s="1"/>
  <c r="I92" i="26" s="1"/>
  <c r="E42" i="26"/>
  <c r="G42" i="26" s="1"/>
  <c r="I42" i="26" s="1"/>
  <c r="E27" i="26"/>
  <c r="G27" i="26" s="1"/>
  <c r="E73" i="26"/>
  <c r="G73" i="26" s="1"/>
  <c r="I73" i="26" s="1"/>
  <c r="E15" i="26"/>
  <c r="G15" i="26" s="1"/>
  <c r="E62" i="26"/>
  <c r="G62" i="26" s="1"/>
  <c r="I62" i="26" s="1"/>
  <c r="E58" i="26"/>
  <c r="G58" i="26" s="1"/>
  <c r="I58" i="26" s="1"/>
  <c r="E59" i="26"/>
  <c r="G59" i="26" s="1"/>
  <c r="I59" i="26" s="1"/>
  <c r="E60" i="26"/>
  <c r="G60" i="26" s="1"/>
  <c r="I60" i="26" s="1"/>
  <c r="E57" i="26"/>
  <c r="G57" i="26" s="1"/>
  <c r="I57" i="26" s="1"/>
  <c r="E55" i="26"/>
  <c r="G55" i="26" s="1"/>
  <c r="I55" i="26" s="1"/>
  <c r="E61" i="26"/>
  <c r="G61" i="26" s="1"/>
  <c r="I61" i="26" s="1"/>
  <c r="E53" i="26"/>
  <c r="G53" i="26" s="1"/>
  <c r="I53" i="26" s="1"/>
  <c r="E54" i="26"/>
  <c r="G54" i="26" s="1"/>
  <c r="I54" i="26" s="1"/>
  <c r="E56" i="26"/>
  <c r="G56" i="26" s="1"/>
  <c r="I56" i="26" s="1"/>
  <c r="E79" i="26"/>
  <c r="G79" i="26" s="1"/>
  <c r="I79" i="26" s="1"/>
  <c r="I21" i="26"/>
  <c r="I22" i="26"/>
  <c r="E20" i="26"/>
  <c r="G20" i="26" s="1"/>
  <c r="E46" i="26"/>
  <c r="E45" i="26"/>
  <c r="I91" i="26"/>
  <c r="G41" i="26"/>
  <c r="I41" i="26" s="1"/>
  <c r="G14" i="26"/>
  <c r="E43" i="26" l="1"/>
  <c r="G43" i="26" s="1"/>
  <c r="I43" i="26" s="1"/>
  <c r="E44" i="26"/>
  <c r="G44" i="26" s="1"/>
  <c r="I44" i="26" s="1"/>
  <c r="I87" i="26"/>
  <c r="E36" i="26"/>
  <c r="G36" i="26" s="1"/>
  <c r="I36" i="26" s="1"/>
  <c r="I47" i="26"/>
  <c r="E80" i="26"/>
  <c r="G80" i="26" s="1"/>
  <c r="I80" i="26" s="1"/>
  <c r="E78" i="26"/>
  <c r="G78" i="26" s="1"/>
  <c r="I78" i="26" s="1"/>
  <c r="I20" i="26"/>
  <c r="I27" i="26"/>
  <c r="E26" i="26"/>
  <c r="G26" i="26" s="1"/>
  <c r="E31" i="26"/>
  <c r="G31" i="26" s="1"/>
  <c r="E25" i="26"/>
  <c r="G25" i="26" s="1"/>
  <c r="I25" i="26" s="1"/>
  <c r="G46" i="26"/>
  <c r="I46" i="26" s="1"/>
  <c r="G45" i="26"/>
  <c r="I45" i="26" s="1"/>
  <c r="G13" i="26"/>
  <c r="G19" i="26"/>
  <c r="I15" i="26"/>
  <c r="I14" i="26"/>
  <c r="E33" i="26" l="1"/>
  <c r="G33" i="26" s="1"/>
  <c r="E34" i="26"/>
  <c r="G34" i="26" s="1"/>
  <c r="E32" i="26"/>
  <c r="G32" i="26" s="1"/>
  <c r="I63" i="26"/>
  <c r="I40" i="26"/>
  <c r="I31" i="26"/>
  <c r="I26" i="26"/>
  <c r="E37" i="26"/>
  <c r="G37" i="26" s="1"/>
  <c r="I37" i="26" s="1"/>
  <c r="I13" i="26"/>
  <c r="G12" i="26"/>
  <c r="I19" i="26"/>
  <c r="E24" i="26" l="1"/>
  <c r="G24" i="26" s="1"/>
  <c r="E29" i="26"/>
  <c r="G29" i="26" s="1"/>
  <c r="I34" i="26"/>
  <c r="I32" i="26"/>
  <c r="I33" i="26"/>
  <c r="E23" i="26"/>
  <c r="G23" i="26" s="1"/>
  <c r="I23" i="26" s="1"/>
  <c r="I12" i="26"/>
  <c r="E82" i="26"/>
  <c r="I9" i="26" l="1"/>
  <c r="I24" i="26"/>
  <c r="I29" i="26"/>
  <c r="E86" i="26"/>
  <c r="G86" i="26" s="1"/>
  <c r="E85" i="26"/>
  <c r="G85" i="26" s="1"/>
  <c r="E83" i="26"/>
  <c r="G83" i="26" s="1"/>
  <c r="E84" i="26"/>
  <c r="G84" i="26" s="1"/>
  <c r="G82" i="26"/>
  <c r="I18" i="26" l="1"/>
  <c r="I86" i="26"/>
  <c r="I82" i="26"/>
  <c r="I84" i="26"/>
  <c r="I83" i="26"/>
  <c r="I85" i="26"/>
  <c r="I81" i="26" l="1"/>
  <c r="I122" i="26" s="1"/>
  <c r="K122" i="26" s="1"/>
  <c r="C126" i="26" l="1"/>
  <c r="I126" i="26" s="1"/>
  <c r="C127" i="26"/>
  <c r="I127" i="26" s="1"/>
  <c r="C125" i="26"/>
  <c r="I125" i="26" s="1"/>
  <c r="I128" i="26" l="1"/>
  <c r="I130" i="26" s="1"/>
  <c r="D19"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<sst xmlns="http://schemas.openxmlformats.org/spreadsheetml/2006/main" count="1848" uniqueCount="953">
  <si>
    <t>INFORMATION</t>
  </si>
  <si>
    <t xml:space="preserve">Project: </t>
  </si>
  <si>
    <t>South Australia Oil and Gas Financial Assurance Calculator</t>
  </si>
  <si>
    <t xml:space="preserve">Company: </t>
  </si>
  <si>
    <t xml:space="preserve">Sitename / Entry name: </t>
  </si>
  <si>
    <t>Sites</t>
  </si>
  <si>
    <t>General User Notes:</t>
  </si>
  <si>
    <t>Purpose and Scope:</t>
  </si>
  <si>
    <t>This calculator estimates the cost to decommission and rehabilitate oil and gas activities in South Australia, including input sheets for wells, pipelines, facilities, water storage, infrastructure and exploration.
The calculator uses a first-principle, bottom calculation method with costs and scopes informed by industry and the calculator developer's experience.
The calculator was commissioned by the South Australian Department for Energy and Mining (DEM).
The developers and DEM hold no liability for the accuracy of the costs estimates and the Calculator does not purport to contain all the information required to estimate the decommissioning liability.</t>
  </si>
  <si>
    <t>Terms and Conditions:</t>
  </si>
  <si>
    <t>Navigation:</t>
  </si>
  <si>
    <t>User Guide</t>
  </si>
  <si>
    <t>How to use the tool.</t>
  </si>
  <si>
    <t>Input</t>
  </si>
  <si>
    <t>Cost Schedule</t>
  </si>
  <si>
    <t>Summary of costs for activities.</t>
  </si>
  <si>
    <t>Rates</t>
  </si>
  <si>
    <t>List of base rates for equipment, labour, materials.</t>
  </si>
  <si>
    <t>Productivity</t>
  </si>
  <si>
    <t>Assumptions for earthmoving movement rates, storage capacities, travel speeds.</t>
  </si>
  <si>
    <t>Assumptions</t>
  </si>
  <si>
    <t>General assumptions for material properties (e.g. density), working day hours, specific weights.</t>
  </si>
  <si>
    <t>Revision History:</t>
  </si>
  <si>
    <t>First complete draft to SA DEM.</t>
  </si>
  <si>
    <t>Return to Information</t>
  </si>
  <si>
    <t>USER GUIDE</t>
  </si>
  <si>
    <t>Tool Overview</t>
  </si>
  <si>
    <t>How to Use: Sequence of Steps</t>
  </si>
  <si>
    <t>#</t>
  </si>
  <si>
    <t>Step instruction</t>
  </si>
  <si>
    <t>Information</t>
  </si>
  <si>
    <t>Review the Terms and Conditions in this sheet.</t>
  </si>
  <si>
    <t>Ensure you understand the purpose, scope and limitations of the calculator.</t>
  </si>
  <si>
    <t>Enter company name and project site(s) and any general notes.</t>
  </si>
  <si>
    <t>Go to the input sheet.</t>
  </si>
  <si>
    <t>Rates Sheet</t>
  </si>
  <si>
    <t>General Information</t>
  </si>
  <si>
    <t>has limited building information, they may chose to enter the by number table. Users can enter to both tables but must not enter the same building to both tables.</t>
  </si>
  <si>
    <t>Rate</t>
  </si>
  <si>
    <t>Unit</t>
  </si>
  <si>
    <t>Totals</t>
  </si>
  <si>
    <t>Total before Project Overheads and Contingency</t>
  </si>
  <si>
    <t>Value</t>
  </si>
  <si>
    <t>Subtotal of Project Overheads and Contingency</t>
  </si>
  <si>
    <t>Total Estimated Rehabilitation Cost for the Site (excluding GST)</t>
  </si>
  <si>
    <t>Total</t>
  </si>
  <si>
    <t>INPUT</t>
  </si>
  <si>
    <t>Notes</t>
  </si>
  <si>
    <t>Item</t>
  </si>
  <si>
    <t>User rate</t>
  </si>
  <si>
    <t>Rate Selected</t>
  </si>
  <si>
    <t>Rate Unit</t>
  </si>
  <si>
    <t>Cost</t>
  </si>
  <si>
    <t>km</t>
  </si>
  <si>
    <t>ha</t>
  </si>
  <si>
    <t>dam</t>
  </si>
  <si>
    <t>sump</t>
  </si>
  <si>
    <t>item</t>
  </si>
  <si>
    <t>Laydown</t>
  </si>
  <si>
    <t>m2</t>
  </si>
  <si>
    <t>site</t>
  </si>
  <si>
    <t>Substations</t>
  </si>
  <si>
    <t>Conventional oil,Plugged and abandoned,Single well</t>
  </si>
  <si>
    <t>Conventional oil,Suspended,Single well</t>
  </si>
  <si>
    <t>Conventional oil,Shut-in,Single well</t>
  </si>
  <si>
    <t>Conventional oil,Appraisal / development,Single well</t>
  </si>
  <si>
    <t>Conventional oil,Operation / Production,Single well, Beam Pump</t>
  </si>
  <si>
    <t>Conventional oil,Operation / Production,Single well, No Beam Pump</t>
  </si>
  <si>
    <t>Conventional oil,Operation / Production,Single well, Beam Pump only</t>
  </si>
  <si>
    <t>Conventional gas,Suspended,Single well</t>
  </si>
  <si>
    <t>Conventional gas,Shut-in,Single well</t>
  </si>
  <si>
    <t>Conventional gas,Appraisal / development,Single well</t>
  </si>
  <si>
    <t>Conventional gas,Operation / Production,Single well</t>
  </si>
  <si>
    <t>Conventional gas,Operation / Production,&lt;= 4 wells well</t>
  </si>
  <si>
    <t>Conventional gas,Operation / Production,&gt; 4 wells well</t>
  </si>
  <si>
    <t>hole</t>
  </si>
  <si>
    <t>well</t>
  </si>
  <si>
    <t>Pipelines</t>
  </si>
  <si>
    <t>Partially rehabiliated</t>
  </si>
  <si>
    <t>Pasture</t>
  </si>
  <si>
    <t>Full rehabilitation required</t>
  </si>
  <si>
    <t>Native</t>
  </si>
  <si>
    <t>Inspect only</t>
  </si>
  <si>
    <t>Arid</t>
  </si>
  <si>
    <t>crossing</t>
  </si>
  <si>
    <t>h</t>
  </si>
  <si>
    <t>Add unit</t>
  </si>
  <si>
    <t>tonne</t>
  </si>
  <si>
    <t>Land Rehabilitation</t>
  </si>
  <si>
    <t>This table is for land not associated with other items.</t>
  </si>
  <si>
    <t>m</t>
  </si>
  <si>
    <t>m3</t>
  </si>
  <si>
    <t>t/ha</t>
  </si>
  <si>
    <t>Gypsum Sodic Soil</t>
  </si>
  <si>
    <t>t</t>
  </si>
  <si>
    <t>Gypsum</t>
  </si>
  <si>
    <t>Revegetation</t>
  </si>
  <si>
    <t>Disposal (gate fee) steel</t>
  </si>
  <si>
    <t>Mobilisation and Demobilisation</t>
  </si>
  <si>
    <t>mobe</t>
  </si>
  <si>
    <t>Reporting and documentation - user to name activity</t>
  </si>
  <si>
    <t>Add Description, quantity (value), unit, and rate</t>
  </si>
  <si>
    <t>Project management</t>
  </si>
  <si>
    <t>Ongoing monitoring</t>
  </si>
  <si>
    <t>Contingency</t>
  </si>
  <si>
    <t>Wells</t>
  </si>
  <si>
    <t>Summary of Costs</t>
  </si>
  <si>
    <t>per vertical well</t>
  </si>
  <si>
    <t>Total (rounded)</t>
  </si>
  <si>
    <t>per metre (vertical)</t>
  </si>
  <si>
    <t>Multiplier for Horizontal well</t>
  </si>
  <si>
    <t>X</t>
  </si>
  <si>
    <t>per horizontal well</t>
  </si>
  <si>
    <t>per metre (horizontal)</t>
  </si>
  <si>
    <t>Well diameter and depth</t>
  </si>
  <si>
    <t>Well diameter</t>
  </si>
  <si>
    <t>mm</t>
  </si>
  <si>
    <t>Well depth / length minimum</t>
  </si>
  <si>
    <t>Well depth / length maximum</t>
  </si>
  <si>
    <t>Well depth / length average</t>
  </si>
  <si>
    <t>Stabilise well</t>
  </si>
  <si>
    <t>Casing volume</t>
  </si>
  <si>
    <t>Circulations</t>
  </si>
  <si>
    <t>Kill fluid volume</t>
  </si>
  <si>
    <t>kL</t>
  </si>
  <si>
    <t>Fluid transport truck</t>
  </si>
  <si>
    <t># of loads</t>
  </si>
  <si>
    <t>Pumping time</t>
  </si>
  <si>
    <t>hours</t>
  </si>
  <si>
    <t>Kill fluid equipment time required</t>
  </si>
  <si>
    <t>Kill fluid pumping equipment cost</t>
  </si>
  <si>
    <t>Kill fluid transport allowance</t>
  </si>
  <si>
    <t>Remove downwell equipment</t>
  </si>
  <si>
    <t>Number of casing strings / completions</t>
  </si>
  <si>
    <t>day</t>
  </si>
  <si>
    <t>Clean out bore</t>
  </si>
  <si>
    <t>$</t>
  </si>
  <si>
    <t>Install and Inspect Plugs</t>
  </si>
  <si>
    <t>Number of plugs</t>
  </si>
  <si>
    <t>Time to install and verify</t>
  </si>
  <si>
    <t>days</t>
  </si>
  <si>
    <t>Install plugs cost</t>
  </si>
  <si>
    <t>Equipment Move between wells</t>
  </si>
  <si>
    <t>days/well</t>
  </si>
  <si>
    <t>Camp and Catering</t>
  </si>
  <si>
    <t>Time required on-site</t>
  </si>
  <si>
    <t>Use</t>
  </si>
  <si>
    <t>Scope</t>
  </si>
  <si>
    <t>Camps</t>
  </si>
  <si>
    <t>structure</t>
  </si>
  <si>
    <t>Concrete Crushing</t>
  </si>
  <si>
    <t>compressor</t>
  </si>
  <si>
    <t>General Land Rehabilitation</t>
  </si>
  <si>
    <t>investigation</t>
  </si>
  <si>
    <t xml:space="preserve">Mobilisation &amp; Demobilisation (Distance to site &lt;= 150 km) Small fleet </t>
  </si>
  <si>
    <t>fleet</t>
  </si>
  <si>
    <t>Mobilisation &amp; Demobilisation (Distance to site &gt; 150 to &lt;= 500 km) Small fleet</t>
  </si>
  <si>
    <t>Mobilisation &amp; Demobilisation (Distance to site &gt; 500 km to &lt;= 1000 km ) Small fleet</t>
  </si>
  <si>
    <t>Mobilisation &amp; Demobilisation (Distance to site &gt; 1000 km) Small fleet</t>
  </si>
  <si>
    <t>Mobilisation &amp; Demobilisation (Distance to site &lt;= 150 km) Large fleet</t>
  </si>
  <si>
    <t>Mobilisation &amp; Demobilisation (Distance to site &gt; 150 to &lt;= 500 km) Large fleet</t>
  </si>
  <si>
    <t>Mobilisation &amp; Demobilisation (Distance to site &gt; 500 km to &lt;= 1000 km ) Large fleet</t>
  </si>
  <si>
    <t>Mobilisation &amp; Demobilisation (Distance to site &gt; 1000 km) Large fleet</t>
  </si>
  <si>
    <t>Pipelines - Road / Rail / River Crossings</t>
  </si>
  <si>
    <t>ML</t>
  </si>
  <si>
    <t>tank</t>
  </si>
  <si>
    <t>Wells - plug and abandon</t>
  </si>
  <si>
    <t>Abandonment plan</t>
  </si>
  <si>
    <t>campaign</t>
  </si>
  <si>
    <t>plug</t>
  </si>
  <si>
    <t>station</t>
  </si>
  <si>
    <t>Rate Used</t>
  </si>
  <si>
    <t>Reference</t>
  </si>
  <si>
    <t>Average</t>
  </si>
  <si>
    <t xml:space="preserve">Consultant and trades </t>
  </si>
  <si>
    <t>Junior Engineer/Geologist/Scientist</t>
  </si>
  <si>
    <t>hour</t>
  </si>
  <si>
    <t>EHS Support indicative rate for projects of this nature</t>
  </si>
  <si>
    <t>Associate Engineer/Geologist/Scientist</t>
  </si>
  <si>
    <t>Principal Engineer/Geologist/Scientist</t>
  </si>
  <si>
    <t>Senior Principal Engineer/Geologist/Scientist</t>
  </si>
  <si>
    <t>Project Manager</t>
  </si>
  <si>
    <t>Senior Project Manager</t>
  </si>
  <si>
    <t>Auditor/Director</t>
  </si>
  <si>
    <t>Draftsman/Technician</t>
  </si>
  <si>
    <t>Accounting/Administration/Clerical/Office Services</t>
  </si>
  <si>
    <t>Rigger</t>
  </si>
  <si>
    <t>EHS rate - to update</t>
  </si>
  <si>
    <t>Electrician</t>
  </si>
  <si>
    <t>Foreperson</t>
  </si>
  <si>
    <t>Labour (General)</t>
  </si>
  <si>
    <t>Mechanical Fitter</t>
  </si>
  <si>
    <t>HDPE Welder</t>
  </si>
  <si>
    <t>Construction labour</t>
  </si>
  <si>
    <t>Drilling engineer</t>
  </si>
  <si>
    <t>Cranes and Platforms</t>
  </si>
  <si>
    <t>Crane 20t</t>
  </si>
  <si>
    <t>Crane 50t</t>
  </si>
  <si>
    <t>Crane 120t</t>
  </si>
  <si>
    <t>Elevated Work Platform 12m</t>
  </si>
  <si>
    <t>Dozers and Graders</t>
  </si>
  <si>
    <t>D6R Dozer</t>
  </si>
  <si>
    <t>D7R Dozer</t>
  </si>
  <si>
    <t>D8R Dozer</t>
  </si>
  <si>
    <t>D9R Dozer</t>
  </si>
  <si>
    <t>D10T Dozer</t>
  </si>
  <si>
    <t>D11T Dozer</t>
  </si>
  <si>
    <t>Grader 12M</t>
  </si>
  <si>
    <t>Grader 14M</t>
  </si>
  <si>
    <t>Grader 16M</t>
  </si>
  <si>
    <t>Excavators and Attachments</t>
  </si>
  <si>
    <t>Excavator 20t</t>
  </si>
  <si>
    <t>Excavator 40t</t>
  </si>
  <si>
    <t>Excavator 74t</t>
  </si>
  <si>
    <t>Excavator 90t</t>
  </si>
  <si>
    <t>Excavator 20t hammer</t>
  </si>
  <si>
    <t>Excavator 40t hammer</t>
  </si>
  <si>
    <t>Excavator 74t hammer</t>
  </si>
  <si>
    <t>Excavator 20t shears</t>
  </si>
  <si>
    <t>Excavator 40t shears</t>
  </si>
  <si>
    <t>Excavator 74t shears</t>
  </si>
  <si>
    <t>Excavator 20t grapple</t>
  </si>
  <si>
    <t>Excavator 40t grapple</t>
  </si>
  <si>
    <t>Excavator 74t grapple</t>
  </si>
  <si>
    <t>Top soil</t>
  </si>
  <si>
    <t>Lime</t>
  </si>
  <si>
    <t>Biosolids, MSW, Manure</t>
  </si>
  <si>
    <t>Hay Mulch / Sugar Cane</t>
  </si>
  <si>
    <t>Fertiliser pasture</t>
  </si>
  <si>
    <t>Fertiliser native</t>
  </si>
  <si>
    <t>Fertiliser trees</t>
  </si>
  <si>
    <t>Native seed</t>
  </si>
  <si>
    <t>kilogram</t>
  </si>
  <si>
    <t>Pasture seed</t>
  </si>
  <si>
    <t>Tube stock</t>
  </si>
  <si>
    <t>Trees - mature</t>
  </si>
  <si>
    <t>Water</t>
  </si>
  <si>
    <t>kilolitre</t>
  </si>
  <si>
    <t>Loaders,  Backhoes, Compactor, Concrete Crusher</t>
  </si>
  <si>
    <t>Panhandler</t>
  </si>
  <si>
    <t>Loader 980M</t>
  </si>
  <si>
    <t>926M Loader</t>
  </si>
  <si>
    <t>950M Loader</t>
  </si>
  <si>
    <t>Backhoe 420F 4WD</t>
  </si>
  <si>
    <t>Backhoe 428F 4WD</t>
  </si>
  <si>
    <t>Backhoe attachments</t>
  </si>
  <si>
    <t>Concrete crushing plant</t>
  </si>
  <si>
    <t>Trucks</t>
  </si>
  <si>
    <t>Truck Flatbed</t>
  </si>
  <si>
    <t>Truck Semi-tipper</t>
  </si>
  <si>
    <t>Truck with crane</t>
  </si>
  <si>
    <t>Truck 740C</t>
  </si>
  <si>
    <t>Truck Vacuum Tanker</t>
  </si>
  <si>
    <t>Truck Water Tanker 19kL</t>
  </si>
  <si>
    <t>Fuel tanker</t>
  </si>
  <si>
    <t>Pump Truck/Tanker</t>
  </si>
  <si>
    <t>Truck module transport</t>
  </si>
  <si>
    <t>Vehicles and Equipment</t>
  </si>
  <si>
    <t>Utility</t>
  </si>
  <si>
    <t>Air Compressor + tools</t>
  </si>
  <si>
    <t>Gas Axe</t>
  </si>
  <si>
    <t>Concrete cutter - portable</t>
  </si>
  <si>
    <t>Seeding boreholes</t>
  </si>
  <si>
    <t>Concrete Pump</t>
  </si>
  <si>
    <t>Concrete cost</t>
  </si>
  <si>
    <t>Pigging equipment</t>
  </si>
  <si>
    <t>Waste Disposal Gate Fees and Levies</t>
  </si>
  <si>
    <t>Disposal (gate fee) construction debris</t>
  </si>
  <si>
    <t>Southern Recycling Centre</t>
  </si>
  <si>
    <t>Gate Fees 2025 - 2026.pdf</t>
  </si>
  <si>
    <t>Scrap metal accepted for free</t>
  </si>
  <si>
    <t>Disposal (gate fee) asbestos in soil</t>
  </si>
  <si>
    <t>Disposal (gate fee) low level solid waste</t>
  </si>
  <si>
    <t>Disposal (gate fee) high level solid waste</t>
  </si>
  <si>
    <t>Disposal (gate fee) oily water</t>
  </si>
  <si>
    <t>Waste Disposal J120, Oil/Water Mix &gt; 10 to &lt; 25% Solids</t>
  </si>
  <si>
    <t>Disposal (gate fee) oil</t>
  </si>
  <si>
    <t>Disposal (gate fee) sludge</t>
  </si>
  <si>
    <t>Waste levy (metropolitan solid waste)</t>
  </si>
  <si>
    <t>https://www.epa.sa.gov.au/business_and_industry/waste-levy</t>
  </si>
  <si>
    <t>Waste levy (non-metropolitan solid waste)</t>
  </si>
  <si>
    <t>Waste levy (liquid waste)</t>
  </si>
  <si>
    <t>Well Abandonment</t>
  </si>
  <si>
    <t>Kill fluid</t>
  </si>
  <si>
    <t>Kill fluid pumping equipment</t>
  </si>
  <si>
    <t>Kill fluid management equipment</t>
  </si>
  <si>
    <t>Rig mobilisation preparation</t>
  </si>
  <si>
    <t>Rig mobilisation</t>
  </si>
  <si>
    <t>Abandonment camp hire</t>
  </si>
  <si>
    <t>Includes catering</t>
  </si>
  <si>
    <t>Abandonment rig and crew hire</t>
  </si>
  <si>
    <t>Wireline rig and crew hire</t>
  </si>
  <si>
    <t>Cementing plant and crew</t>
  </si>
  <si>
    <t>Mechanical plug</t>
  </si>
  <si>
    <t>Verification of barrier</t>
  </si>
  <si>
    <t>Investigation equipment</t>
  </si>
  <si>
    <t>Soil Augers</t>
  </si>
  <si>
    <t>Photo-ionisation detector</t>
  </si>
  <si>
    <t>De-contamination water 4L</t>
  </si>
  <si>
    <t>per 4 L</t>
  </si>
  <si>
    <t>Gloves/disposables</t>
  </si>
  <si>
    <t>Pond gauging equipment</t>
  </si>
  <si>
    <t>Water Treatment</t>
  </si>
  <si>
    <t>Reverse Osmosis 1ML/d</t>
  </si>
  <si>
    <t>Neutraliser 0.5ML/d</t>
  </si>
  <si>
    <t>Oil water separator / carbon unit</t>
  </si>
  <si>
    <t>Hydrated Lime</t>
  </si>
  <si>
    <t>kg</t>
  </si>
  <si>
    <t>RO Chemicals</t>
  </si>
  <si>
    <t>Activated carbon buy dispose</t>
  </si>
  <si>
    <t>6 inch pump</t>
  </si>
  <si>
    <t>Soil: Laboratory Analytical</t>
  </si>
  <si>
    <t>sample</t>
  </si>
  <si>
    <t>Concrete crushing rate to 75 mm</t>
  </si>
  <si>
    <t>t/h</t>
  </si>
  <si>
    <t>Concrete crushing rate to 50 mm</t>
  </si>
  <si>
    <t>Concrete crushing rate to 30 mm</t>
  </si>
  <si>
    <t>Dozer Grade (LCM/h) vs. Grading Distance</t>
  </si>
  <si>
    <t>Number of dozers</t>
  </si>
  <si>
    <t>Dozing distance (m)</t>
  </si>
  <si>
    <t>Dozer D6R</t>
  </si>
  <si>
    <t>Too small</t>
  </si>
  <si>
    <t>Dozer D7R</t>
  </si>
  <si>
    <t>Dozer D9R</t>
  </si>
  <si>
    <t>Dozer D10T</t>
  </si>
  <si>
    <t>Dozer D11T</t>
  </si>
  <si>
    <t>Dozer D8R</t>
  </si>
  <si>
    <t>km/h</t>
  </si>
  <si>
    <t>Run Length</t>
  </si>
  <si>
    <t>Rip depth (multi shank)</t>
  </si>
  <si>
    <t>Rip volume</t>
  </si>
  <si>
    <t>#/ha</t>
  </si>
  <si>
    <t>h/ha</t>
  </si>
  <si>
    <t xml:space="preserve">Excavator cut pipe </t>
  </si>
  <si>
    <t>m/h</t>
  </si>
  <si>
    <t>Excavator cut cladding</t>
  </si>
  <si>
    <t>m2/h</t>
  </si>
  <si>
    <t xml:space="preserve">Excavator cut steel plate </t>
  </si>
  <si>
    <t>Excavator concrete break and remove</t>
  </si>
  <si>
    <t>m3/h</t>
  </si>
  <si>
    <t>Cat page 8-12, H160 reinforced concrete 229 to 650 m3 per 8 hour shift</t>
  </si>
  <si>
    <t>Excavator cut liner</t>
  </si>
  <si>
    <t>Excavator liner rolling</t>
  </si>
  <si>
    <t>Grader Trim Productivity</t>
  </si>
  <si>
    <t>Speed (2nd Gear)</t>
  </si>
  <si>
    <t>Effective blade width (30 degrees)</t>
  </si>
  <si>
    <t>Overlap width</t>
  </si>
  <si>
    <t>Efficiency</t>
  </si>
  <si>
    <t>%</t>
  </si>
  <si>
    <t>ha/h</t>
  </si>
  <si>
    <t>Grader Rip Productivity</t>
  </si>
  <si>
    <t>Speed (1st Gear)</t>
  </si>
  <si>
    <t>Number of runs required</t>
  </si>
  <si>
    <t>Truck haul speed loaded</t>
  </si>
  <si>
    <t>Truck haul speed unloaded</t>
  </si>
  <si>
    <t>Truck travel speed on-site - loaded</t>
  </si>
  <si>
    <t>Truck travel speed on-site - unloaded</t>
  </si>
  <si>
    <t>Semi-tipper maximum volume</t>
  </si>
  <si>
    <t>https://www.freighter.com.au/trailers/lusty-ems-chassis-tipper/</t>
  </si>
  <si>
    <t>Semi-tipper maximum mass</t>
  </si>
  <si>
    <t>Semi-tipper maximum volume - concrete</t>
  </si>
  <si>
    <t>Borrow Pit</t>
  </si>
  <si>
    <t>Earthen</t>
  </si>
  <si>
    <t>Bitumen</t>
  </si>
  <si>
    <t>Conversion</t>
  </si>
  <si>
    <t>Specific mass of structural steel - columns</t>
  </si>
  <si>
    <t>Specific mass of structural steel - cross beams</t>
  </si>
  <si>
    <t>t/m2</t>
  </si>
  <si>
    <t>Liner</t>
  </si>
  <si>
    <t>kg/m</t>
  </si>
  <si>
    <t>Abandonment Rig Productivity</t>
  </si>
  <si>
    <t>Time to remove tubing and packers</t>
  </si>
  <si>
    <t>h/1000 m</t>
  </si>
  <si>
    <t>Time to install one barrier</t>
  </si>
  <si>
    <t>Description</t>
  </si>
  <si>
    <t>Source</t>
  </si>
  <si>
    <t>Comment</t>
  </si>
  <si>
    <t>Minutes in hour</t>
  </si>
  <si>
    <t>min/h</t>
  </si>
  <si>
    <t>Kilograms in tonnes</t>
  </si>
  <si>
    <t>kg/t</t>
  </si>
  <si>
    <t>Metres in kilometres</t>
  </si>
  <si>
    <t>m/km</t>
  </si>
  <si>
    <t>Square metres in hectare</t>
  </si>
  <si>
    <t>sq.m/ha</t>
  </si>
  <si>
    <t>Litres in kilolitres</t>
  </si>
  <si>
    <t>L/kL</t>
  </si>
  <si>
    <t>Millimetres in metres</t>
  </si>
  <si>
    <t>mm/m</t>
  </si>
  <si>
    <t>Metres per min in kilometres per hour</t>
  </si>
  <si>
    <t>Speed - kph to m/min</t>
  </si>
  <si>
    <t>-</t>
  </si>
  <si>
    <t>Incidental Waste multiplier</t>
  </si>
  <si>
    <t>Gypsum Normal Soil</t>
  </si>
  <si>
    <t>kg/ha</t>
  </si>
  <si>
    <t>plants/ha</t>
  </si>
  <si>
    <t>trees/ha</t>
  </si>
  <si>
    <t>Tanker capacity</t>
  </si>
  <si>
    <t>Truck capacity (water load)</t>
  </si>
  <si>
    <t>Tanker liquids pump flowrate - oil</t>
  </si>
  <si>
    <t>kL/h</t>
  </si>
  <si>
    <t>Tanker liquids pump flowrate - water</t>
  </si>
  <si>
    <t>Concrete density</t>
  </si>
  <si>
    <r>
      <t>t/m</t>
    </r>
    <r>
      <rPr>
        <vertAlign val="superscript"/>
        <sz val="10"/>
        <color theme="1"/>
        <rFont val="Poppins regular"/>
      </rPr>
      <t>3</t>
    </r>
  </si>
  <si>
    <t>Concrete truck packing factor</t>
  </si>
  <si>
    <t>Steel density</t>
  </si>
  <si>
    <t>t/m3</t>
  </si>
  <si>
    <t xml:space="preserve">https://www.engineeringtoolbox.com/metal-alloys-densities-d_50.html </t>
  </si>
  <si>
    <t>Steel roof specific mass</t>
  </si>
  <si>
    <t>kg/m2</t>
  </si>
  <si>
    <t>Asphalt density</t>
  </si>
  <si>
    <t>Project Costs</t>
  </si>
  <si>
    <t>Sludge density</t>
  </si>
  <si>
    <t>Soil density</t>
  </si>
  <si>
    <t>50 to 60 km</t>
  </si>
  <si>
    <t>Concrete surface cover - Building</t>
  </si>
  <si>
    <t>Concrete surface cover - Parking</t>
  </si>
  <si>
    <t>Concrete footing - Module</t>
  </si>
  <si>
    <t>Concrete disposal</t>
  </si>
  <si>
    <t>30 to 35 km</t>
  </si>
  <si>
    <t>Includes concrete, rubble, liners. Used in the calculation of default rates for building slabs etc.</t>
  </si>
  <si>
    <t>Liquid waste disposal</t>
  </si>
  <si>
    <t>Soil disposal</t>
  </si>
  <si>
    <t>Solid salt disposal</t>
  </si>
  <si>
    <t>Re-use site for gravel</t>
  </si>
  <si>
    <t>Miscellaneous Assumptions</t>
  </si>
  <si>
    <t>Average working day</t>
  </si>
  <si>
    <t>Electricity</t>
  </si>
  <si>
    <t>per kWh</t>
  </si>
  <si>
    <t>https://www.solarchoice.net.au/energy/electricity-cost-per-kwh-in-australia/</t>
  </si>
  <si>
    <t>Average cost SA state</t>
  </si>
  <si>
    <t>Conventional oil,Operation / Production,Single well</t>
  </si>
  <si>
    <t>Conventional gas,Plugged and abandoned,Single well</t>
  </si>
  <si>
    <t>Conventional oil,Corehole,Single well</t>
  </si>
  <si>
    <t>Electrical cable, pipeline, piping and fittings</t>
  </si>
  <si>
    <t>Pipe specific mass (300 mm diameter, STD)</t>
  </si>
  <si>
    <t>Pipe specific mass (450 mm diameter, STD)</t>
  </si>
  <si>
    <t>Pipe specific mass (600 mm diameter, STD)</t>
  </si>
  <si>
    <t>Pipe / electrical tray specific mass</t>
  </si>
  <si>
    <t>Valve and fittings multiplier for mass</t>
  </si>
  <si>
    <t>Electrical wiring specific mass (AWG 4/0, 200 amp)</t>
  </si>
  <si>
    <t>t/km</t>
  </si>
  <si>
    <t>Dams and Ponds</t>
  </si>
  <si>
    <t>Sediment - Contaminated dam</t>
  </si>
  <si>
    <t>Sediment - Clean dam</t>
  </si>
  <si>
    <t>Multiplier on base area for liner</t>
  </si>
  <si>
    <t>Growth media thickness dams</t>
  </si>
  <si>
    <t>Kill fluid pumping rate</t>
  </si>
  <si>
    <t>m3/min</t>
  </si>
  <si>
    <t>Barrier plug volume</t>
  </si>
  <si>
    <t>Demolition rate with wrecking ball</t>
  </si>
  <si>
    <t>Based on 10 hours per 250 m2 structure</t>
  </si>
  <si>
    <t>This sheet is a functional sheet only, Users do not need to use it.</t>
  </si>
  <si>
    <t>Lists</t>
  </si>
  <si>
    <t>Dozer Push Length</t>
  </si>
  <si>
    <t>Maintenance of rehabilitated areas</t>
  </si>
  <si>
    <t>Existing rehabilitation repair - minor</t>
  </si>
  <si>
    <t>Existing rehabilitation repair - moderate</t>
  </si>
  <si>
    <t>Existing rehabilitation repair - major</t>
  </si>
  <si>
    <t>Rehabilitation of miscellaneous footprints</t>
  </si>
  <si>
    <t>Land management of undisturbed areas</t>
  </si>
  <si>
    <t>Pest management on buffer lands, non-disturbed, and rehabilitated areas</t>
  </si>
  <si>
    <t>General doze deep ripping - D6R</t>
  </si>
  <si>
    <t>General doze deep ripping - D7R</t>
  </si>
  <si>
    <t>General doze deep ripping - D8R</t>
  </si>
  <si>
    <t>General doze deep ripping - D9R</t>
  </si>
  <si>
    <t>General doze deep ripping - D10T</t>
  </si>
  <si>
    <t>General doze deep ripping - D11T</t>
  </si>
  <si>
    <t>General doze and shape to re-establish natural drainage and rip - D6R dozer</t>
  </si>
  <si>
    <t>General doze and shape to re-establish natural drainage and rip - D7R dozer</t>
  </si>
  <si>
    <t>General doze and shape to re-establish natural drainage and rip - D8R dozer</t>
  </si>
  <si>
    <t>General doze and shape to re-establish natural drainage and rip - D9R dozer</t>
  </si>
  <si>
    <t>General doze and shape to re-establish natural drainage and rip - D10T dozer</t>
  </si>
  <si>
    <t>General doze and shape to re-establish natural drainage and rip - D11T dozer</t>
  </si>
  <si>
    <t>General grader and shape to re-establish natural rip - 12M</t>
  </si>
  <si>
    <t>General grader and shape to re-establish natural rip - 14M</t>
  </si>
  <si>
    <t>General grader and shape to re-establish natural rip - 16M</t>
  </si>
  <si>
    <t>Land</t>
  </si>
  <si>
    <t>Load and Haul</t>
  </si>
  <si>
    <t>&lt;=200 m</t>
  </si>
  <si>
    <t>&gt;200 m to &lt;=500 m</t>
  </si>
  <si>
    <t>&gt;500 m to &lt;=1000 m</t>
  </si>
  <si>
    <t>&gt;1000 m to &lt;=1500 m</t>
  </si>
  <si>
    <t>&gt;1500 m to &lt;=2000 m</t>
  </si>
  <si>
    <t>&gt;2000 m to &lt;=2500 m</t>
  </si>
  <si>
    <t>&gt;2500 m to &lt;=3000 m</t>
  </si>
  <si>
    <t>&gt;3000 m to &lt;=4000 m</t>
  </si>
  <si>
    <t>&gt;4000 m to &lt;=5000 m</t>
  </si>
  <si>
    <t>&gt;5000 m to &lt;=6000 m</t>
  </si>
  <si>
    <t>&gt; 6000 m</t>
  </si>
  <si>
    <t>Long Haul Distance Ranges</t>
  </si>
  <si>
    <t>&lt; 5 km</t>
  </si>
  <si>
    <t>5 to 10 km</t>
  </si>
  <si>
    <t>10 to 15 km</t>
  </si>
  <si>
    <t>15 to 20 km</t>
  </si>
  <si>
    <t>20 to 25 km</t>
  </si>
  <si>
    <t>25 to 30 km</t>
  </si>
  <si>
    <t>35 to 40 km</t>
  </si>
  <si>
    <t>40 to 45 km</t>
  </si>
  <si>
    <t>45 to 50 km</t>
  </si>
  <si>
    <t>60 to 70 km</t>
  </si>
  <si>
    <t>70 to 80 km</t>
  </si>
  <si>
    <t>80 to 90 km</t>
  </si>
  <si>
    <t>90 to 100 km</t>
  </si>
  <si>
    <t>100 to 150 km</t>
  </si>
  <si>
    <t>150 to 200 km</t>
  </si>
  <si>
    <t>200 to 250 km</t>
  </si>
  <si>
    <t>&gt; 250 km</t>
  </si>
  <si>
    <t>Materials</t>
  </si>
  <si>
    <t>None</t>
  </si>
  <si>
    <t>Brick</t>
  </si>
  <si>
    <t>Steel</t>
  </si>
  <si>
    <t>Concrete</t>
  </si>
  <si>
    <t>Pipeline Rehab Status</t>
  </si>
  <si>
    <t>Processing Plants</t>
  </si>
  <si>
    <t>Stand-alone gas compressor</t>
  </si>
  <si>
    <t>Gas processing plant</t>
  </si>
  <si>
    <t>Water treatment plant</t>
  </si>
  <si>
    <t>Conventional gas</t>
  </si>
  <si>
    <t>Conventional oil</t>
  </si>
  <si>
    <t>Seed / Plant Method</t>
  </si>
  <si>
    <t>Handcast</t>
  </si>
  <si>
    <t>Dozer applied</t>
  </si>
  <si>
    <t>Plant</t>
  </si>
  <si>
    <t>Short Distances</t>
  </si>
  <si>
    <t>&lt;=1km</t>
  </si>
  <si>
    <t>&gt;1km &lt;=2km</t>
  </si>
  <si>
    <t>&gt;2km &lt;=5km</t>
  </si>
  <si>
    <t>&gt;5km</t>
  </si>
  <si>
    <t xml:space="preserve">Surface Cover </t>
  </si>
  <si>
    <t>Gravel / rock</t>
  </si>
  <si>
    <t>Tank Base</t>
  </si>
  <si>
    <t>Earth base</t>
  </si>
  <si>
    <t>Skid base</t>
  </si>
  <si>
    <t>Steel base</t>
  </si>
  <si>
    <t>Concrete base</t>
  </si>
  <si>
    <t>Plastic base</t>
  </si>
  <si>
    <t>Tank Contain</t>
  </si>
  <si>
    <t>Single skin</t>
  </si>
  <si>
    <t>Tank Liner</t>
  </si>
  <si>
    <t>Lined</t>
  </si>
  <si>
    <t>Not lined</t>
  </si>
  <si>
    <t>Tank Top</t>
  </si>
  <si>
    <t>Open top</t>
  </si>
  <si>
    <t>Closed top</t>
  </si>
  <si>
    <t>Tank Type</t>
  </si>
  <si>
    <t>Vertical tank</t>
  </si>
  <si>
    <t>Horizontal tank</t>
  </si>
  <si>
    <t>Concrete ring tank</t>
  </si>
  <si>
    <t>Panel tank</t>
  </si>
  <si>
    <t>Hopper tank</t>
  </si>
  <si>
    <t>Rainwater tank</t>
  </si>
  <si>
    <t>Tank Wall</t>
  </si>
  <si>
    <t>Steel wall</t>
  </si>
  <si>
    <t>Concrete wall</t>
  </si>
  <si>
    <t>Plastic wall</t>
  </si>
  <si>
    <t>Tanks List</t>
  </si>
  <si>
    <t>Pipeline Location</t>
  </si>
  <si>
    <t>Remove</t>
  </si>
  <si>
    <t>Aboveground</t>
  </si>
  <si>
    <t>Buried</t>
  </si>
  <si>
    <t>Flushing</t>
  </si>
  <si>
    <t>Dam Contamination</t>
  </si>
  <si>
    <t>Contaminated</t>
  </si>
  <si>
    <t>Clean</t>
  </si>
  <si>
    <t>Dam Liner</t>
  </si>
  <si>
    <t>Unlined</t>
  </si>
  <si>
    <t>Tracks Surface Replace</t>
  </si>
  <si>
    <t>No replace</t>
  </si>
  <si>
    <t>Replace rock</t>
  </si>
  <si>
    <t>Remove contam only</t>
  </si>
  <si>
    <t>Buried gas decommissioning - purging (&lt; = 0.5 m diameter)</t>
  </si>
  <si>
    <t>Buried gas pipeline decommissioning - purging (&gt; 0.5 m diameter)</t>
  </si>
  <si>
    <t>Buried oil decommissioning - purging (&lt;= 100 mm diameter)</t>
  </si>
  <si>
    <t>Buried oil decommissioning - purging (&gt; 100 mm, &lt;=250mm diameter)</t>
  </si>
  <si>
    <t>Buried oil pipeline decommissioning - purging (&gt; 250 mm diameter)</t>
  </si>
  <si>
    <t>Removal of buried pipelines</t>
  </si>
  <si>
    <t>Removal of above ground pipe (gas)</t>
  </si>
  <si>
    <t>Removal of above ground pipe (oil)</t>
  </si>
  <si>
    <t>Removal of above ground pipe (water)</t>
  </si>
  <si>
    <t>Road crossings (0.5 m diameter or less pipe)</t>
  </si>
  <si>
    <t>Road crossings (&gt; 0.5 m diameter pipe)</t>
  </si>
  <si>
    <t>Rail crossings (0.5 m diameter or less pipe)</t>
  </si>
  <si>
    <t>Rail crossings (&gt; 0.5 m diameter pipe)</t>
  </si>
  <si>
    <t>Creek / river crossings (0.5 m diameter or less pipe)</t>
  </si>
  <si>
    <t>Creek / river crossings (&gt; 0.5 m diameter pipe)</t>
  </si>
  <si>
    <t>per trip</t>
  </si>
  <si>
    <t>Bioremediation</t>
  </si>
  <si>
    <t>Crossings</t>
  </si>
  <si>
    <t>MW</t>
  </si>
  <si>
    <t>TJ/day</t>
  </si>
  <si>
    <t>ML/day</t>
  </si>
  <si>
    <t>Allowance</t>
  </si>
  <si>
    <t>EPA South Australia FY2026-27</t>
  </si>
  <si>
    <t>EPA South Australia FY2026-27 (same for metro/non-metro)</t>
  </si>
  <si>
    <t>Vertical well &gt; 500m to &lt;= 1000m depth, 1 strings / completion, 1 barriers.</t>
  </si>
  <si>
    <t>Horizontal well &gt; 5000m to &lt;= 6000m length, 1 strings / completion, 6 barriers.</t>
  </si>
  <si>
    <t>Tilling</t>
  </si>
  <si>
    <t>Track 6 m wide</t>
  </si>
  <si>
    <t>Track 3 m wide</t>
  </si>
  <si>
    <t>Exploration dam</t>
  </si>
  <si>
    <t>Clean water supply dam up to 5 ML volume.</t>
  </si>
  <si>
    <t>Land used for exploration activities</t>
  </si>
  <si>
    <t>Infrastructure</t>
  </si>
  <si>
    <t>Exploration</t>
  </si>
  <si>
    <t>Drilling Mud-Sump</t>
  </si>
  <si>
    <t>Mobile camp</t>
  </si>
  <si>
    <t>Permanent camp</t>
  </si>
  <si>
    <t>Buildings - steel</t>
  </si>
  <si>
    <t>Buildings - brick</t>
  </si>
  <si>
    <t>Communications tower</t>
  </si>
  <si>
    <t>Utilities</t>
  </si>
  <si>
    <t>Power generation</t>
  </si>
  <si>
    <t>Power lines</t>
  </si>
  <si>
    <t>Coreholes</t>
  </si>
  <si>
    <t>Plugged and abandoned oil or gas well</t>
  </si>
  <si>
    <t>Conventional oil well with no or limited equipment</t>
  </si>
  <si>
    <t>Conventional oil well with equipment</t>
  </si>
  <si>
    <t>Wells - aboveground</t>
  </si>
  <si>
    <t>Conventional gas well with no or limited equipment</t>
  </si>
  <si>
    <t>Conventional gas well with equipment</t>
  </si>
  <si>
    <t>Inspection only</t>
  </si>
  <si>
    <t>Final rehabilitation</t>
  </si>
  <si>
    <t>Full rehabilitation</t>
  </si>
  <si>
    <t>Hub facility</t>
  </si>
  <si>
    <t>Drains and risers</t>
  </si>
  <si>
    <t>Meter and valve stations</t>
  </si>
  <si>
    <t>Pig launchers and receivers</t>
  </si>
  <si>
    <t>Facilities</t>
  </si>
  <si>
    <t>Standalone gas compressor</t>
  </si>
  <si>
    <t>Gas processing facility</t>
  </si>
  <si>
    <t>Oil storage facility</t>
  </si>
  <si>
    <t>Water transfer station</t>
  </si>
  <si>
    <t>Lined pond with contaminated water</t>
  </si>
  <si>
    <t>Lined pond without contaminated water</t>
  </si>
  <si>
    <t>Steel tank &lt;=500kL</t>
  </si>
  <si>
    <t>Steel tank &gt;500kL</t>
  </si>
  <si>
    <t>Exploration bore</t>
  </si>
  <si>
    <t>bore</t>
  </si>
  <si>
    <t>Reinjection bore</t>
  </si>
  <si>
    <t>Water treatment</t>
  </si>
  <si>
    <t>Rehabilitation repair</t>
  </si>
  <si>
    <t>Growth media source, supply and place</t>
  </si>
  <si>
    <t>Ameliorant source, supply and place</t>
  </si>
  <si>
    <t>Preliminary site investigation</t>
  </si>
  <si>
    <t>Intrusive land investigation</t>
  </si>
  <si>
    <t>Soil bioremediation</t>
  </si>
  <si>
    <t>includes fuel and operator</t>
  </si>
  <si>
    <t>Blade width</t>
  </si>
  <si>
    <t>Run width (in hectare)</t>
  </si>
  <si>
    <t>Dozer Grade (LCM/h) vs. Grading Distance Range</t>
  </si>
  <si>
    <t>One-way Travel Distances (assumptions for default rates)</t>
  </si>
  <si>
    <t>Trucks and Tankers</t>
  </si>
  <si>
    <t>Soil and Material Properties</t>
  </si>
  <si>
    <t>Rock cover density</t>
  </si>
  <si>
    <t>Standard industry practice and used in several government calculators.</t>
  </si>
  <si>
    <t>Concrete slab default for heavy equipment</t>
  </si>
  <si>
    <t>Asphalt surface cover thickness</t>
  </si>
  <si>
    <t>Gravel surface cover thickness</t>
  </si>
  <si>
    <t>assumed</t>
  </si>
  <si>
    <t>Excavator remove asphalt</t>
  </si>
  <si>
    <t>Excavator cut electrical cable tray</t>
  </si>
  <si>
    <t>Excavator cut cable</t>
  </si>
  <si>
    <t>Excavator demolish bund</t>
  </si>
  <si>
    <t>Excavator load soil</t>
  </si>
  <si>
    <t>Loader load soil</t>
  </si>
  <si>
    <t>Excavator load steel</t>
  </si>
  <si>
    <t>Excavators, Loaders, Wrecking Ball</t>
  </si>
  <si>
    <t>Rock surface thickness for temporary camp</t>
  </si>
  <si>
    <t>Bitumen surface thickness for temporary camp</t>
  </si>
  <si>
    <t>Concrete surface thickness for temporary camp</t>
  </si>
  <si>
    <t>Temporary camp</t>
  </si>
  <si>
    <t>includes fuel and operator, excludes rigger</t>
  </si>
  <si>
    <t>40ft electric scissor lift</t>
  </si>
  <si>
    <t>Earthmoving contractor</t>
  </si>
  <si>
    <t>includes fuel and crew</t>
  </si>
  <si>
    <t>excludes delivery</t>
  </si>
  <si>
    <t>Contractor</t>
  </si>
  <si>
    <t>10. Multipliers</t>
  </si>
  <si>
    <t>Enter project name in Information tab</t>
  </si>
  <si>
    <t>Water supply / monitoring bore</t>
  </si>
  <si>
    <t>Pest / land management on buffer lands, non-disturbed, and rehabilitated areas</t>
  </si>
  <si>
    <t>1. Exploration</t>
  </si>
  <si>
    <t>2. Infrastructure</t>
  </si>
  <si>
    <t>3. Wells - Surface Rehabilitation</t>
  </si>
  <si>
    <t>4. Wells - Downwell</t>
  </si>
  <si>
    <t>5. Pipelines</t>
  </si>
  <si>
    <t>6. Facilities</t>
  </si>
  <si>
    <t>8. Mobilisation and Demobilisation</t>
  </si>
  <si>
    <t>9. Additional and User Entered Activities</t>
  </si>
  <si>
    <t>Estimated cost:</t>
  </si>
  <si>
    <t>The downwell entries have an associated drop-down selection as shown below. The calculator populates the appropriate rate based on the user selection.</t>
  </si>
  <si>
    <t>Enter the length of shown width (or close to) track to be rehabilitated.</t>
  </si>
  <si>
    <t>Enter the number of exploration bores to be rehabilitated.</t>
  </si>
  <si>
    <t>All the unit rates for activities (e.g. seismic rehabilitation) are listed with the guidance on use and the scope assumptions in the Cost Schedule tab.</t>
  </si>
  <si>
    <t>To assist the Department, add a note justifying the User rate.</t>
  </si>
  <si>
    <t>Enter any notes to the right hand column as shown.</t>
  </si>
  <si>
    <t>The main entry sheet is the Input Sheet  and the key attributes are shown below. Enter the quantities to the top left hand side of the sheet, as shown below.</t>
  </si>
  <si>
    <t>The Rates sheet lists all the underlying unit rates; the Productivity sheet shows the activity rates, speeds and application rates; and the Assumptions sheet shows general assumptions used to build the cost shown in the Cost Schedule.</t>
  </si>
  <si>
    <t>The sheets have hyperlinks to allow quick navigation between sheets.</t>
  </si>
  <si>
    <t>includes fuel and driver</t>
  </si>
  <si>
    <t>includes fuel and driver, light rigid/site truck (4.5m tray)</t>
  </si>
  <si>
    <t>includes fuel and driver,  4t rigid crane truck</t>
  </si>
  <si>
    <t>Petroleum hydrocarbons analysis</t>
  </si>
  <si>
    <t>Heavy metals analysis</t>
  </si>
  <si>
    <t>PAHs and phenols analysis</t>
  </si>
  <si>
    <t>Crane supplier</t>
  </si>
  <si>
    <t>Rolled-up rate including superannuation</t>
  </si>
  <si>
    <t>Rolled-up rate including superannuation and office overheads</t>
  </si>
  <si>
    <t>Mine spec vehicle</t>
  </si>
  <si>
    <t>Vehicle hire</t>
  </si>
  <si>
    <t>Waste contractor</t>
  </si>
  <si>
    <t>Water treatment contractor</t>
  </si>
  <si>
    <t xml:space="preserve">If you wish to enter a user cost rate to over-ride the  default calculator rate, enter your rate in the User Rate column in the Input sheet. As can be seen below, the calculator will take the user entered value. </t>
  </si>
  <si>
    <t>Quantities are never expected to be entered twice. Where there are more than one table for an activity, for example buildings by area and buildings by number, the User enters quantities for a specific building to one table only. The intent of the two tables is to provide flexibility. For example if a User</t>
  </si>
  <si>
    <t>Seismic 2D</t>
  </si>
  <si>
    <t>Enter the length of 2D seismic easement to be rehabilitated.</t>
  </si>
  <si>
    <t>Seismic 3D</t>
  </si>
  <si>
    <t>Enter the area of 3D seismic easement to be rehabilitated.</t>
  </si>
  <si>
    <t>Kill fluid purchase cost</t>
  </si>
  <si>
    <t>Kill fluid  management cost</t>
  </si>
  <si>
    <t>Verification</t>
  </si>
  <si>
    <t>Indicative rates from commercial laboratory</t>
  </si>
  <si>
    <t>Agricultural supplier</t>
  </si>
  <si>
    <t>Rock surface thickness for permanent camp</t>
  </si>
  <si>
    <t>Pipeline Buried / Aboveground</t>
  </si>
  <si>
    <t>Enter the area of land requiring of amelioration. Ameliorants are not included in the other rates in this list. Consequently any material requirements (e.g. if an area is known to have sodic soil and the land must be returned to pasture) must be added to this row.</t>
  </si>
  <si>
    <t>Enter the volume of growth media that is required outside of the activities on this list. For example areas outside well pads, pipeline easements and facilities. This row can also be used to enter any additional growth media requirements on facilities or other disturbance. For clarity, a default growth media thickness shown in the Assumptions is included in the rates in this list. However, if it is known that substantially more material will be required or must be imported, this row can be used.</t>
  </si>
  <si>
    <t>Enter the number of stand-alone gas compressor units that must be disconnected and transported off-site.</t>
  </si>
  <si>
    <t>Enter the total nameplate storage capacity of conventional oil processing facilities that must be decommissioned and the land rehabilitated.</t>
  </si>
  <si>
    <t>Enter the total nameplate processing capacity of water treatment facilities that must be decommissioned and the land rehabilitated.</t>
  </si>
  <si>
    <t>Enter the total nameplate storage capacity of water transfer facilities that must be decommissioned and the land rehabilitated.</t>
  </si>
  <si>
    <t>Enter the area of borrow pit to be rehabilitated.</t>
  </si>
  <si>
    <t>Enter the total length of shown width (or close to) track to be rehabilitated.</t>
  </si>
  <si>
    <t>Unlined pond with clean water</t>
  </si>
  <si>
    <t xml:space="preserve">Enter the total volume of steel tanks of capacity greater than the shown volume that must be demolished and the land rehabilitated. For example, if the proponent has 2 tanks of 750 kL volume each, 1500 kL must be entered. Tanks associated with process plants are included in those rates and do not needed to be added here. </t>
  </si>
  <si>
    <t>Asbestos in soil</t>
  </si>
  <si>
    <t>Asbestos - from buildings</t>
  </si>
  <si>
    <t>Asbestos - from pipe</t>
  </si>
  <si>
    <t>7. Land Rehabilitation and Contaminated Materials</t>
  </si>
  <si>
    <t>Hydrocarbons and metals in soil</t>
  </si>
  <si>
    <t>Enter the total nameplate processing capacity of conventional gas processing facilities that must be decommissioned and the land rehabilitated. Enter quantities for associated ponds and dams and water management facilities separately.</t>
  </si>
  <si>
    <t xml:space="preserve">
Includes allowance for purging / removal of liquids, mechanical and electrical disconnection, removal of pipe and cable tray, lifting and transport unit as a whole, allowance for incidental waste, small contaminated land investigation, fencing and minor land rehabilitation. Costs for waste management are included. No offset for scrap or equipment re-use, no charge for steel into recycling facilites and no charge for storage of reuseable items.
</t>
  </si>
  <si>
    <t xml:space="preserve">
Includes mechanical and electrical disconnection tanks and associated equipment and transport for storage / scrap, removal of pipe and cable tray, demolition of concrete plinths and footings, demolition of buildings and transport of portable buildings, allowance for incidental waste, contaminated land investigation, fencing, gravel removal and  land rehabilitation. Costs for waste management are included. Costs for any associated ponds and dams, wells and pipeline (pipeline not assoicated with the plant) are not included. No offset for scrap or equipment re-use, no charge for steel into recycling facilites and no charge for storage of reuseable items.
</t>
  </si>
  <si>
    <t xml:space="preserve">
Includes allowance for removal of liquids, mechanical and electrical disconnection of tanks and associated equipment and transport for storage, removal of pipe and cable tray, demolition of concrete plinths and footings, demolition of buildings and transport of portable buildings, allowance for incidental waste, contaminated land investigation, fencing, gravel removal and  land rehabilitation. Costs for waste management are included. Costs for any associated ponds and dams, wells and pipeline (pipeline not assoicated with the plant) are not included.  No offset for scrap or equipment re-use, no charge for steel into recycling facilites and no charge for storage of reuseable items.
</t>
  </si>
  <si>
    <t xml:space="preserve">
Includes allowance for purging / removal of liquids, mechanical and electrical disconnection of modules and transport for storage, removal of pipe and cable tray, demolition of concrete plinths and footings, demolition of buildings and transport of portable buildings, allowance for incidental waste, contaminated land investigation, fencing, gravel removal and  land rehabilitation. Costs for waste management are included. Costs for any associated ponds and dams, wells and pipeline (pipeline not assoicated with the plant) are not included. No offset for scrap or equipment re-use, no charge for steel into recycling facilites and no charge for storage of reuseable items.
</t>
  </si>
  <si>
    <t xml:space="preserve">
Includes mechanical and electrical disconnection of treatment modules (e.g reverse osmosis containers), tanks and associated equipment and transport for storage / scrap, removal of pipe and cable tray, demolition of concrete plinths and footings, demolition of buildings and transport of portable buildings, allowance for incidental waste, contaminated land investigation, fencing, gravel removal and  land rehabilitation. Costs for waste management are included. Costs for any associated ponds and dams, wells and pipeline (pipeline not assoicated with the plant) are not included. No offset for scrap or equipment re-use, no charge for steel into recycling facilites and no charge for storage of reuseable items.
</t>
  </si>
  <si>
    <t>Fleet comprising Labour (General), Backhoe 420F 4WD, Utility.</t>
  </si>
  <si>
    <t>Enter the total area of laydown to be rehabilitated. This rate can be used for tracks and roads if the proponent has area quantities rather than length.</t>
  </si>
  <si>
    <t xml:space="preserve">
Enter the total footprint area of mobile camps owned by the proponent to be decommissioned and rehabilitated. If the camp is leased, use "Land used for exploration activities" rate.
</t>
  </si>
  <si>
    <t xml:space="preserve">
Enter the total footprint area of permanent camps owned by the proponent to be decommissioned and rehabilitated. If the camp is leased, use "Land used for exploration activities" rate.
</t>
  </si>
  <si>
    <t xml:space="preserve">
Enter the number of drilling sumps to be rehabilitated.
</t>
  </si>
  <si>
    <t xml:space="preserve">
Enter the number of water ponds / dams to be rehabilitated. 
</t>
  </si>
  <si>
    <t xml:space="preserve">
Enter the area of land beneath third-party owned camps and equipment (e.g. water treatment facility) to be rehabilitated.
</t>
  </si>
  <si>
    <t xml:space="preserve">
Enter the total footprint area of steel buildings that are not associated with other rates on the list. For clarity, allowances for buildings are included in processing plant and other rates and do not need to be added here. For multi-storey buildings multiply the footprint by the number of floors.
</t>
  </si>
  <si>
    <t xml:space="preserve">
Enter the total footprint area of brick or concrete buildings that are not associated with other rates on the list. For clarity, allowances for buildings are included in processing plant and other rates and do not need to be added here. For multi-storey buildings multiply the footprint by the number of floors.
</t>
  </si>
  <si>
    <t xml:space="preserve">
Enter the total number of communications towers to be decommissioned and the land rehabilitated.
</t>
  </si>
  <si>
    <t>Electricians and mechanical labour to disconnect electrical, gas, water, and communications to site.</t>
  </si>
  <si>
    <t xml:space="preserve">
Enter the total number of sites where utilities must be disconnected. Typically this will one per facility.
</t>
  </si>
  <si>
    <t xml:space="preserve">
Enter the total footprint area of substations that must be decommissioned and the land rehabilitated.
</t>
  </si>
  <si>
    <t xml:space="preserve">
Enter the total nameplate power generation capacity that must be decommissioned and the land rehabilitated.
</t>
  </si>
  <si>
    <t xml:space="preserve">
Enter the total length of powerlines that must be decommissioned and the land rehabilitated.
</t>
  </si>
  <si>
    <t>De-energise system, disconnect cables from towers, cut-up on ground and transport for scrap (no offset or gate fee), dismantle / demolish concrete or steel towers and transport for scrap / disposal, demolish concrete footings and transport for disposal.</t>
  </si>
  <si>
    <t xml:space="preserve">
Enter the total area of lined (e.g with HDPE or clay) ponds / dams containing contaminated / saline water that must be rehabilitated.
</t>
  </si>
  <si>
    <t xml:space="preserve">
Enter the total area of lined (e.g with HDPE or clay) ponds / dams containing clean water that must be rehabilitated.
</t>
  </si>
  <si>
    <t>Remove contaminated sediment layer and dispose, remove, cut-up and dispose of liner; push in walls and backfill; rehabilitate land (assumed average of pasture, native, and no seed). Does not allow for pumping out and treatment of any remaining water.</t>
  </si>
  <si>
    <t>Remove thin non-contaminated sediment layer, remove, cut-up and dispose of liner; push in walls and backfill; rehabilitate land (assumed average of pasture, native, and no seed). Does not allow for pumping out and treatment of any remaining water.</t>
  </si>
  <si>
    <t xml:space="preserve">
Enter the total area of unlined ponds / dams containing clean water that must be rehabilitated.
</t>
  </si>
  <si>
    <t>Remove thin non-contaminated sediment layer, push in walls and backfill; rehabilitate land (assumed average of pasture, native, and no seed). Does not allow for pumping out and treatment of any remaining water.</t>
  </si>
  <si>
    <t xml:space="preserve">
Enter the total volume of contaminated / saline water that would be required to be treated. 
</t>
  </si>
  <si>
    <t>Allowance for water treatment equipment to reduce salinity, correct pH and/or remove organics.</t>
  </si>
  <si>
    <t xml:space="preserve">
Enter the number of steel tanks of capacity less than the shown volume that must be demolished and the land rehabilitated. Tanks associated with process plants are included in those rates and do not needed to be added here.
</t>
  </si>
  <si>
    <t>Disconnect electrically and mechanically. Demolish and cut-up steel walls, roof and floor and transport for scrap (no offset or gate fee). Demolish concrete floor and dispose.</t>
  </si>
  <si>
    <t xml:space="preserve">
Enter the total number of water supply / monitoring bores that must be decommissioned and the land rehabilitated.
</t>
  </si>
  <si>
    <t>Fleet comprising Labour (General), Backhoe 420F 4WD, Utility. Plug, backfill or grout well (average cost for these methods).</t>
  </si>
  <si>
    <t xml:space="preserve">
Enter the total number of reinjection bores that must be decommissioned and the land rehabilitated.
</t>
  </si>
  <si>
    <t>Fleet comprising Labour (General), Backhoe 420F 4WD, Utility. Plug, backfill or grout well (average cost for these methods). Includes allowance for surface equipment and is assumed to be deeper and larger diameter than a monitoring bore.</t>
  </si>
  <si>
    <t xml:space="preserve">
Enter the area of land for minor rehabilitation (e.g. rut repair, reseed).
</t>
  </si>
  <si>
    <t xml:space="preserve">
Enter the area of land requiring substantial repair (e.g. due to erosion) that is not part of the other activities in this list (e.g. land rehabilitation for a gas plant is included in that rate).
</t>
  </si>
  <si>
    <t xml:space="preserve">
Enter the area of land to for pest / weed treatment.
</t>
  </si>
  <si>
    <t>Gypsum and growth media</t>
  </si>
  <si>
    <t>Load, transport, and place growth media. One-way transport distance shown in Assumptions.</t>
  </si>
  <si>
    <t>Load, transport, and place growth ameliorants (e.g. gypsum and lime). One-way transport distance shown in Assumptions.</t>
  </si>
  <si>
    <t xml:space="preserve">
Enter the area of land requiring revegetation outside of the activities on this list. For example areas outside well pads, pipeline easements and facilities. For clarity, costs are allowed for re-vegetation in the rates on this list.
</t>
  </si>
  <si>
    <t>Average of pasture and native seed.</t>
  </si>
  <si>
    <t xml:space="preserve">
Enter the number of investigations.
</t>
  </si>
  <si>
    <t xml:space="preserve">
Enter the mass of any known contaminated soil that will be remediated using this technique.
</t>
  </si>
  <si>
    <t>Allowance for consultant labour and database company to provide and evaluate historical and current use and source and receptor information.</t>
  </si>
  <si>
    <t>Instrusive shallow soil investigation by consultants using hand augers. Includes soil sample analysis, equipment and vehicles. Does not cover groundwater investigations.</t>
  </si>
  <si>
    <t xml:space="preserve">
Enter the number of areas to be investigated. Small areas within 500 metres of each other can be assumed to be one area. If groundwater investigations are required, either apply multiples of this rate or develop a specific rate.
</t>
  </si>
  <si>
    <t>Allows for placing and turning equipment; fertiliser and water; sampling by consultant and analysis of samples.</t>
  </si>
  <si>
    <t xml:space="preserve">
Enter the mass of soil contaminated with organics and inroganics to be disposed off-site.
</t>
  </si>
  <si>
    <t xml:space="preserve">
Enter the mass of soil contaminated with asbestos to be disposed off-site.
</t>
  </si>
  <si>
    <t xml:space="preserve">
Enter the area of asbestos sheet to be disposed off-site.
</t>
  </si>
  <si>
    <t xml:space="preserve">
Enter the length of asbestos pipe to be disposed off-site.
</t>
  </si>
  <si>
    <t>Includes removal, transport, gate fee and waste levy. Does not include sample analysis.</t>
  </si>
  <si>
    <t xml:space="preserve">
Enter the number of small fleets (typically 0 or 1) to be used for decommissioning / rehabilitation work that will be sourced from within the distance range (by road and one-way) shown. Typically used for for well pads, tracks and pipeline easements.
</t>
  </si>
  <si>
    <t xml:space="preserve">
Enter the number of small fleets (typically 0 or 1) to be used for decommissioning / rehabilitation work that will be sourced from within the distance range (by road and one-way) shown. Typically used for for facilities and dams.
</t>
  </si>
  <si>
    <t xml:space="preserve">
Enter the length of buried pipeline requiring removal. This rate includes purging.
</t>
  </si>
  <si>
    <t xml:space="preserve">
Enter the length of buried gas pipeline within the diameter range shown that requires purging. This rate is used if the pipeline will be left in place.
</t>
  </si>
  <si>
    <t xml:space="preserve">
Enter the length of buried oil pipeline within the diameter range shown that requires purging. This rate is used if the pipeline will be left in place.
</t>
  </si>
  <si>
    <t xml:space="preserve">
Enter the length of aboveground water pipeline requiring removal. This rate includes removal of water.
</t>
  </si>
  <si>
    <t xml:space="preserve">
Enter the length of aboveground oil pipeline requiring removal. This rate includes flushing of oil.
</t>
  </si>
  <si>
    <t xml:space="preserve">
Enter the length of aboveground gas pipeline requiring removal. This rate includes purging of gas.
</t>
  </si>
  <si>
    <t xml:space="preserve">
Enter the area of pipeline easement where rehabilitation work is complete and only inspection is required.
</t>
  </si>
  <si>
    <t xml:space="preserve">
Enter the area of pipeline easement that has been rehabilitated to an operational width and only requires final rehabilitation work.
</t>
  </si>
  <si>
    <t xml:space="preserve">
Enter the area of pipeline easement where no rehabilitation work has been undertaken.
</t>
  </si>
  <si>
    <t xml:space="preserve">
Enter the number of road, rail, river, and creek crossings where a pipeline has traversed and rehabilitation is required.
</t>
  </si>
  <si>
    <t xml:space="preserve">
Enter the number of drains and risers on the pipelines that require decommissioning and rehabilitation.
</t>
  </si>
  <si>
    <t xml:space="preserve">
Enter the number meter and valve stations on the pipelines that require decommissioning and rehabilitation.
</t>
  </si>
  <si>
    <t xml:space="preserve">
Enter the total footprint area of pipeline hub facilities that require decommissioning and rehabilitation.
</t>
  </si>
  <si>
    <t>Inspector with vehicle with backhoe for minor work.</t>
  </si>
  <si>
    <t>Rip and trim with grader, reseed with average cost for pasture, native and no seed.</t>
  </si>
  <si>
    <t xml:space="preserve">
Enter the number of pigging facilities on the pipelines that require decommissioning and rehabilitation.
</t>
  </si>
  <si>
    <t xml:space="preserve">
Mechanical and electrical disconnection; removal of equipment, pipe and cable tray; demolition of concrete plinths and footings, transport of portable buildings, allowance for incidental waste, fencing removal, gravel removal and  land rehabilitation. Contaminated land investigation. Costs for waste management are included.
</t>
  </si>
  <si>
    <t xml:space="preserve">
Mechanical disconnection; removal of equipment, demolition of concrete bund and footings, gravel removal and land rehabilitation. Costs for waste management are included.
</t>
  </si>
  <si>
    <t xml:space="preserve">
Enter the number of coreholes to be rehabilitated.
</t>
  </si>
  <si>
    <t xml:space="preserve">
Enter the number of plugged and abandoned wells where the land remain unrehabilitated or where minor work remains (e.g. sign removal).
</t>
  </si>
  <si>
    <t xml:space="preserve">
Enter the well pad footprint of conventional oil wells to be decommissioned and rehabilitated where most or all of the surface equipment has been removed (e.g. a suspended well).
</t>
  </si>
  <si>
    <t xml:space="preserve">
Enter the well pad footprint of conventional oil wells to be decommissioned and rehabilitated where surface equipment remains (e.g. Christmas tree, equipment associated with appraisal).
</t>
  </si>
  <si>
    <t xml:space="preserve">
Enter the well pad footprint of conventional gas wells to be decommissioned and rehabilitated where most or all of the surface equipment has been removed (e.g. a suspended well).
</t>
  </si>
  <si>
    <t xml:space="preserve">
Enter the well pad footprint of conventional gas wells to be decommissioned and rehabilitated where surface equipment remains (e.g. Christmas tree, equipment associated with appraisal).
</t>
  </si>
  <si>
    <t>See Abandon Wells sheet for assumptions</t>
  </si>
  <si>
    <t xml:space="preserve">Enter number of wells in this category to be abandoned.
</t>
  </si>
  <si>
    <t xml:space="preserve">Enter number of campaigns (typically 0 if no wells to decommission or 1).
</t>
  </si>
  <si>
    <t>Labour time to prepare abandonment plan for project.</t>
  </si>
  <si>
    <t>Trucks and support vehicle to safely transport drilling rig and support equipment to site and return.</t>
  </si>
  <si>
    <t>Scrapyard and storage</t>
  </si>
  <si>
    <t>For steel and other metal disposal, storage of reuseable items</t>
  </si>
  <si>
    <t>Revised after addressing DEM queries and simplifying sheets.</t>
  </si>
  <si>
    <t>Fleet comprising Labour (General), Backhoe 420F 4WD, Utility. Minor land repair / seed.</t>
  </si>
  <si>
    <t xml:space="preserve">Enter number of mobilisations from the rig source site to the campaign area. The costs includes return. Moving between wells is accounted separately.
</t>
  </si>
  <si>
    <t>Minor modifications including removal of Summary hyperlink in this sheet.</t>
  </si>
  <si>
    <t>Hyperlink</t>
  </si>
  <si>
    <t>By using this calculator, the User agrees to the following Terms and Conditions:
1. The rehabilitation liability estimate calculator (the calculator) may only be used subject to, and for the purposes described in, these terms and conditions of use. In using the calculator, the licensee agrees to be bound by these terms and conditions of use.
2. The calculator is a general tool provided by the Department for Energy and Mining (the department) to assist licensees in estimating rehabilitation liabilities associated with the decommissioning and rehabilitation of energy resource projects.
3. Rehabilitation liability estimates are used in the determination of financial security required pursuant to the Energy Resources Act 2000.
4. The calculator is indicative only and does not constitute a final or binding determination by the department.
5. Licensees must ensure they use the most up to date version of the calculator by checking the departmental website. The department may revise the rates and/or formulae used in the calculator at any time without notice but is not under any obligation to do so.
6. The licensee should rely on their own independent investigations, assessments, review and analysis in using the calculator.
7. The output of the calculator will depend upon the accuracy of the information entered by the user concerning the relevant approved license and current and future conditions.
8. Submission of a rehabilitation liability estimate generated using the calculator does not guarantee acceptance by the department.
9. The department reserves the right to review, verify and amend any estimate, including the inputs provided by the licensee, and/or the resulting calculations generated by the calculator.
10. The third-party rates included in the calculator must not be altered.
11. Licensees may provide alternative unit rates where appropriate, provided sufficient supporting documentation is submitted for the department’s consideration. The department may at its sole discretion, accept or reject any alternative rates.
12. To the maximum extent permitted by law, the department makes no representations or warranties, express or implied, regarding the calculator, including its accuracy, reliability, completeness, performance or fitness for any particular purpose.
13. To the maximum extent permitted by law, the department excludes all liability (whether in negligence or otherwise) for any loss, damage, cost or expense (including direct, indirect, or consequential loss, loss of revenue, profit, contracts or opportunity, and legal costs) incurred by the licensee arising from or in connection with: 
  o Use of, or inability to use the calculator;
  o reliance on the calculator or is outputs;
  o errors or omissions in the calculator or its underlying data; or
  o any virus, malicious code or system interference arising from the use of the calculator.
14. The department does not warrant that the calculator will be free from viruses or compatible with the licensee’s systems. Licensees are responsible for implementing appropriate safeguards to protect their systems and data.</t>
  </si>
  <si>
    <t>User input sheet and summary of costs.</t>
  </si>
  <si>
    <t>Changes to Terms and Conditions and add filter to input sheet.</t>
  </si>
  <si>
    <t>Fleet comprising Labour (General), Backhoe 420F 4WD, Utility allowance for seed (average of native, pasture and no seed rates.</t>
  </si>
  <si>
    <t>Earthmoving fleet comprising grader to rip surface, replace local growth media and seed with seeding cost assumed to be the average of pasture, native, and no seed. No rock removal.</t>
  </si>
  <si>
    <t>Mix, bury, cover using Excavator 20t supported by Labour (General).</t>
  </si>
  <si>
    <t>Production rate of 0.5 ha/h, fleet comprising Labour (General), Grader 12M, and Utility. Reseeding of 1 of area using average rate of pasture, native and no seed.</t>
  </si>
  <si>
    <t>Earthmoving fleet comprising grader to rip surface and remove rock / gravel, replace local growth media and seed with seeding cost assumed to be the average of pasture, native, and no seed. Cost is the average of earthen and rock / gravel covered laydown.</t>
  </si>
  <si>
    <t>Mobile camp up to 50 persons. Disconnect accomodation, mess, laundry modules electrically and mechanically, transport to storage, no concrete or hardstand. No recreation facilities. Removal of diesel generator, replace local growth media and seed. Includes waste disposal.</t>
  </si>
  <si>
    <t>Permanent camp up to 5000 persons. Allowance for liquid removal (e.g. washwater). Disconnect accomodation, mess, laundry modules electrically and mechanically, transport to storage. Demolish and transport concrete footings and hardstand. Allowance for removal of recreation facilities. Remove diesel generator to storage. Remove gravel surface covering, replace local growth media and seed. Includes waste disposal.</t>
  </si>
  <si>
    <t>Demolition of steel walled and roof building with concrete slab. Disconnect electrically and mechanically. Demolish, cut-up and transport steel for scrap (no offset and no gate fee) to storage, demolish concrete footings and slab. Land rehabilitation assumed included with other facilities such as processing plants. Includes waste disposal.</t>
  </si>
  <si>
    <t>Demolition of brick walled building with steel roof and concrete slab. Disconnect electrically and mechanically. Demolish, and brick for disposal, demolish concrete footings and slab. Land rehabilitation assumed included with other facilities such as processing plants. Includes waste disposal.</t>
  </si>
  <si>
    <t>Disconnect electrically and mechanically. Pull / dismantle structure, transport steel for scrap (no offset or gate fee) and electronics to storage. Demolish concrete footings and dispose.</t>
  </si>
  <si>
    <t>Disconnect transformers and associated equipment electrically and mechanically and transport to storage. Cut-up and transport cable tray. Demolish and transport concrete footings and hardstand.  Allowance for liquid removal (e.g. transformer oil). Remove gravel surface covering, replace local growth media and seed. Includes waste disposal.</t>
  </si>
  <si>
    <t>Disconnect power generation units (e.g. gas turbines) and associated equipment electrically and mechanically and transport to storage. Cut-up and transport cable tray. Demolish and transport concrete footings and hardstand. Includes buildings. Remove gravel surface covering, replace local growth media and seed. Includes waste disposal.</t>
  </si>
  <si>
    <t>Inspection rate of 10 ha/h, fleet comprising Labour (General), Backhoe 420F 4WD, and Utility. Reseeding of 25% of area using average rate of pasture, native and no seed.</t>
  </si>
  <si>
    <t>Repair rate of 5 ha/h, fleet comprising Labour (General), Backhoe 420F 4WD, and Utility. Reseeding of 100% of area using average rate of pasture, native and no seed.</t>
  </si>
  <si>
    <t>Inspection / treatment rate of 1 ha/h, fleet comprising and Utility. No reseeding.</t>
  </si>
  <si>
    <t>Typical fleet of 1 Truck 740C, 1 Truck Water Tanker 19kL, 1 D8R Dozer, 1 Excavator 20t, 1 Grader 12M, 1 926M Loader, 1 Service truck, 2 Light vehicles.</t>
  </si>
  <si>
    <t>Typical fleet of 3 Truck 740C, 1 Truck Water Tanker 19kL, 1 D8R Dozer, 1 D10T Dozer, 1 Excavator 20t, 2 Excavator 40t, 1 Grader 12M, 1 Grader 14M, 2 926M Loader, 1 Service truck, 4 Light vehicles.</t>
  </si>
  <si>
    <t>Purging based on 0.5 m diameter, 4 exchanges. Includes initial pigging.</t>
  </si>
  <si>
    <t>Purging based on 1 m diameter, 4 exchanges. Includes initial pigging.</t>
  </si>
  <si>
    <t>Flushing based on 0.1 m diameter, 2 exchanges. Includes initial pigging.</t>
  </si>
  <si>
    <t>Flushing based on 0.25 m diameter, 2 exchanges. Includes initial pigging.</t>
  </si>
  <si>
    <t>Flushing based on 0.4 m diameter, 2 exchanges. Includes initial pigging.</t>
  </si>
  <si>
    <t>Remove underground pipe using Excavator 20t, Truck Semi-tipper, Mechanical Fitter. Productivity of 240 m/day. Does not include purging or flushing.</t>
  </si>
  <si>
    <t>Remove aboveground pipe using Excavator 20t, Truck Semi-tipper, Mechanical Fitter. Productivity of 970 m/day. Includes purging.</t>
  </si>
  <si>
    <t>Remove aboveground pipe using Excavator 20t, Truck Semi-tipper, Mechanical Fitter. Productivity of 10 m/day. Includes flushing.</t>
  </si>
  <si>
    <t>Remove aboveground pipe using Excavator 20t, Truck Semi-tipper, Mechanical Fitter. Productivity of 10 m/day. Includes removal of water.</t>
  </si>
  <si>
    <t>Cut and cap and fill ends with grout using Backhoe 420F 4WD, Mechanical Fitter, Rigger, Concrete Pump.</t>
  </si>
  <si>
    <t>Excavate to tee section, cut and cap and backfill using Backhoe 420F 4WD, Truck Flatbed, Mechanical Fitter.</t>
  </si>
  <si>
    <t>Fleet comprising Labour (General), Mechanical Fitter, Truck with crane, land rehabilitation with seed the average of pasture, native and no seed. Waste included.</t>
  </si>
  <si>
    <t>Fleet comprising Labour (General), Mechanical Fitter, Truck with crane, remove any liners and sludge, land rehabilitation with seed the average of pasture, native and no seed. Waste included.</t>
  </si>
  <si>
    <t>Abandonment Drilling Rig Mobe / Demobe &gt;=0 to &lt;150 km one way</t>
  </si>
  <si>
    <t>Abandonment Drilling Rig Mobe / Demobe &gt;=150 to &lt;500 km one way</t>
  </si>
  <si>
    <t>Abandonment Drilling Rig Mobe / Demobe &gt;=500 to &lt;1000 km one way</t>
  </si>
  <si>
    <t>Abandonment Drilling Rig Mobe / Demobe &gt; 1000 km one way</t>
  </si>
  <si>
    <t>Vertical well &gt; 0m to &lt;= 500m depth, 1 strings / completion, 1 barriers.</t>
  </si>
  <si>
    <t>Vertical well &gt; 1000m to &lt;= 2000m depth, 1 strings / completion, 1 barriers.</t>
  </si>
  <si>
    <t>Vertical well &gt; 2000m to &lt;= 3000m depth, 1 strings / completion, 1 barriers.</t>
  </si>
  <si>
    <t>Vertical well &gt; 3000m to &lt;= 4000m depth, 1 strings / completion, 1 barriers.</t>
  </si>
  <si>
    <t>Vertical well &gt; 4000m to &lt;= 5000m depth, 1 strings / completion, 1 barriers.</t>
  </si>
  <si>
    <t>Vertical well &gt; 5000m to &lt;= 6000m depth, 1 strings / completion, 1 barriers.</t>
  </si>
  <si>
    <t>Vertical well &gt; 0m to &lt;= 500m depth, 1 strings / completion, 2 barriers.</t>
  </si>
  <si>
    <t>Vertical well &gt; 500m to &lt;= 1000m depth, 1 strings / completion, 2 barriers.</t>
  </si>
  <si>
    <t>Vertical well &gt; 1000m to &lt;= 2000m depth, 1 strings / completion, 2 barriers.</t>
  </si>
  <si>
    <t>Vertical well &gt; 2000m to &lt;= 3000m depth, 1 strings / completion, 2 barriers.</t>
  </si>
  <si>
    <t>Vertical well &gt; 3000m to &lt;= 4000m depth, 1 strings / completion, 2 barriers.</t>
  </si>
  <si>
    <t>Vertical well &gt; 4000m to &lt;= 5000m depth, 1 strings / completion, 2 barriers.</t>
  </si>
  <si>
    <t>Vertical well &gt; 5000m to &lt;= 6000m depth, 1 strings / completion, 2 barriers.</t>
  </si>
  <si>
    <t>Vertical well &gt; 0m to &lt;= 500m depth, 1 strings / completion, 3 barriers.</t>
  </si>
  <si>
    <t>Vertical well &gt; 500m to &lt;= 1000m depth, 1 strings / completion, 3 barriers.</t>
  </si>
  <si>
    <t>Vertical well &gt; 1000m to &lt;= 2000m depth, 1 strings / completion, 3 barriers.</t>
  </si>
  <si>
    <t>Vertical well &gt; 2000m to &lt;= 3000m depth, 1 strings / completion, 3 barriers.</t>
  </si>
  <si>
    <t>Vertical well &gt; 3000m to &lt;= 4000m depth, 1 strings / completion, 3 barriers.</t>
  </si>
  <si>
    <t>Vertical well &gt; 4000m to &lt;= 5000m depth, 1 strings / completion, 3 barriers.</t>
  </si>
  <si>
    <t>Vertical well &gt; 5000m to &lt;= 6000m depth, 1 strings / completion, 3 barriers.</t>
  </si>
  <si>
    <t>Vertical well &gt; 0m to &lt;= 500m depth, 1 strings / completion, 4 barriers.</t>
  </si>
  <si>
    <t>Vertical well &gt; 500m to &lt;= 1000m depth, 1 strings / completion, 4 barriers.</t>
  </si>
  <si>
    <t>Vertical well &gt; 1000m to &lt;= 2000m depth, 1 strings / completion, 4 barriers.</t>
  </si>
  <si>
    <t>Vertical well &gt; 2000m to &lt;= 3000m depth, 1 strings / completion, 4 barriers.</t>
  </si>
  <si>
    <t>Vertical well &gt; 3000m to &lt;= 4000m depth, 1 strings / completion, 4 barriers.</t>
  </si>
  <si>
    <t>Vertical well &gt; 4000m to &lt;= 5000m depth, 1 strings / completion, 4 barriers.</t>
  </si>
  <si>
    <t>Vertical well &gt; 5000m to &lt;= 6000m depth, 1 strings / completion, 4 barriers.</t>
  </si>
  <si>
    <t>Vertical well &gt; 0m to &lt;= 500m depth, 1 strings / completion, 5 barriers.</t>
  </si>
  <si>
    <t>Vertical well &gt; 500m to &lt;= 1000m depth, 1 strings / completion, 5 barriers.</t>
  </si>
  <si>
    <t>Vertical well &gt; 1000m to &lt;= 2000m depth, 1 strings / completion, 5 barriers.</t>
  </si>
  <si>
    <t>Vertical well &gt; 2000m to &lt;= 3000m depth, 1 strings / completion, 5 barriers.</t>
  </si>
  <si>
    <t>Vertical well &gt; 3000m to &lt;= 4000m depth, 1 strings / completion, 5 barriers.</t>
  </si>
  <si>
    <t>Vertical well &gt; 4000m to &lt;= 5000m depth, 1 strings / completion, 5 barriers.</t>
  </si>
  <si>
    <t>Vertical well &gt; 5000m to &lt;= 6000m depth, 1 strings / completion, 5 barriers.</t>
  </si>
  <si>
    <t>Vertical well &gt; 0m to &lt;= 500m depth, 1 strings / completion, 6 barriers.</t>
  </si>
  <si>
    <t>Vertical well &gt; 500m to &lt;= 1000m depth, 1 strings / completion, 6 barriers.</t>
  </si>
  <si>
    <t>Vertical well &gt; 1000m to &lt;= 2000m depth, 1 strings / completion, 6 barriers.</t>
  </si>
  <si>
    <t>Vertical well &gt; 2000m to &lt;= 3000m depth, 1 strings / completion, 6 barriers.</t>
  </si>
  <si>
    <t>Vertical well &gt; 3000m to &lt;= 4000m depth, 1 strings / completion, 6 barriers.</t>
  </si>
  <si>
    <t>Vertical well &gt; 4000m to &lt;= 5000m depth, 1 strings / completion, 6 barriers.</t>
  </si>
  <si>
    <t>Vertical well &gt; 5000m to &lt;= 6000m depth, 1 strings / completion, 6 barriers.</t>
  </si>
  <si>
    <t>Horizontal well &gt; 0m to &lt;= 500m length, 1 strings / completion, 1 barriers.</t>
  </si>
  <si>
    <t>Horizontal well &gt; 500m to &lt;= 1000m length, 1 strings / completion, 1 barriers.</t>
  </si>
  <si>
    <t>Horizontal well &gt; 1000m to &lt;= 2000m length, 1 strings / completion, 1 barriers.</t>
  </si>
  <si>
    <t>Horizontal well &gt; 2000m to &lt;= 3000m length, 1 strings / completion, 1 barriers.</t>
  </si>
  <si>
    <t>Horizontal well &gt; 3000m to &lt;= 4000m length, 1 strings / completion, 1 barriers.</t>
  </si>
  <si>
    <t>Horizontal well &gt; 4000m to &lt;= 5000m length, 1 strings / completion, 1 barriers.</t>
  </si>
  <si>
    <t>Horizontal well &gt; 5000m to &lt;= 6000m length, 1 strings / completion, 1 barriers.</t>
  </si>
  <si>
    <t>Horizontal well &gt; 0m to &lt;= 500m length, 1 strings / completion, 2 barriers.</t>
  </si>
  <si>
    <t>Horizontal well &gt; 500m to &lt;= 1000m length, 1 strings / completion, 2 barriers.</t>
  </si>
  <si>
    <t>Horizontal well &gt; 1000m to &lt;= 2000m length, 1 strings / completion, 2 barriers.</t>
  </si>
  <si>
    <t>Horizontal well &gt; 2000m to &lt;= 3000m length, 1 strings / completion, 2 barriers.</t>
  </si>
  <si>
    <t>Horizontal well &gt; 3000m to &lt;= 4000m length, 1 strings / completion, 2 barriers.</t>
  </si>
  <si>
    <t>Horizontal well &gt; 4000m to &lt;= 5000m length, 1 strings / completion, 2 barriers.</t>
  </si>
  <si>
    <t>Horizontal well &gt; 5000m to &lt;= 6000m length, 1 strings / completion, 2 barriers.</t>
  </si>
  <si>
    <t>Horizontal well &gt; 0m to &lt;= 500m length, 1 strings / completion, 3 barriers.</t>
  </si>
  <si>
    <t>Horizontal well &gt; 500m to &lt;= 1000m length, 1 strings / completion, 3 barriers.</t>
  </si>
  <si>
    <t>Horizontal well &gt; 1000m to &lt;= 2000m length, 1 strings / completion, 3 barriers.</t>
  </si>
  <si>
    <t>Horizontal well &gt; 2000m to &lt;= 3000m length, 1 strings / completion, 3 barriers.</t>
  </si>
  <si>
    <t>Horizontal well &gt; 3000m to &lt;= 4000m length, 1 strings / completion, 3 barriers.</t>
  </si>
  <si>
    <t>Horizontal well &gt; 4000m to &lt;= 5000m length, 1 strings / completion, 3 barriers.</t>
  </si>
  <si>
    <t>Horizontal well &gt; 5000m to &lt;= 6000m length, 1 strings / completion, 3 barriers.</t>
  </si>
  <si>
    <t>Horizontal well &gt; 0m to &lt;= 500m length, 1 strings / completion, 4 barriers.</t>
  </si>
  <si>
    <t>Horizontal well &gt; 500m to &lt;= 1000m length, 1 strings / completion, 4 barriers.</t>
  </si>
  <si>
    <t>Horizontal well &gt; 1000m to &lt;= 2000m length, 1 strings / completion, 4 barriers.</t>
  </si>
  <si>
    <t>Horizontal well &gt; 2000m to &lt;= 3000m length, 1 strings / completion, 4 barriers.</t>
  </si>
  <si>
    <t>Horizontal well &gt; 3000m to &lt;= 4000m length, 1 strings / completion, 4 barriers.</t>
  </si>
  <si>
    <t>Horizontal well &gt; 4000m to &lt;= 5000m length, 1 strings / completion, 4 barriers.</t>
  </si>
  <si>
    <t>Horizontal well &gt; 5000m to &lt;= 6000m length, 1 strings / completion, 4 barriers.</t>
  </si>
  <si>
    <t>Horizontal well &gt; 0m to &lt;= 500m length, 1 strings / completion, 5 barriers.</t>
  </si>
  <si>
    <t>Horizontal well &gt; 500m to &lt;= 1000m length, 1 strings / completion, 5 barriers.</t>
  </si>
  <si>
    <t>Horizontal well &gt; 1000m to &lt;= 2000m length, 1 strings / completion, 5 barriers.</t>
  </si>
  <si>
    <t>Horizontal well &gt; 2000m to &lt;= 3000m length, 1 strings / completion, 5 barriers.</t>
  </si>
  <si>
    <t>Horizontal well &gt; 3000m to &lt;= 4000m length, 1 strings / completion, 5 barriers.</t>
  </si>
  <si>
    <t>Horizontal well &gt; 4000m to &lt;= 5000m length, 1 strings / completion, 5 barriers.</t>
  </si>
  <si>
    <t>Horizontal well &gt; 5000m to &lt;= 6000m length, 1 strings / completion, 5 barriers.</t>
  </si>
  <si>
    <t>Horizontal well &gt; 0m to &lt;= 500m length, 1 strings / completion, 6 barriers.</t>
  </si>
  <si>
    <t>Horizontal well &gt; 500m to &lt;= 1000m length, 1 strings / completion, 6 barriers.</t>
  </si>
  <si>
    <t>Horizontal well &gt; 1000m to &lt;= 2000m length, 1 strings / completion, 6 barriers.</t>
  </si>
  <si>
    <t>Horizontal well &gt; 2000m to &lt;= 3000m length, 1 strings / completion, 6 barriers.</t>
  </si>
  <si>
    <t>Horizontal well &gt; 3000m to &lt;= 4000m length, 1 strings / completion, 6 barriers.</t>
  </si>
  <si>
    <t>Horizontal well &gt; 4000m to &lt;= 5000m length, 1 strings / completion, 6 barriers.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</si>
</sst>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5" formatCode="_(* #,##0.00_);_(* \(#,##0.00\);_(* &quot;-&quot;??_);_(@_)"/>
    <numFmt numFmtId="170" formatCode="0.000"/>
    <numFmt numFmtId="171" formatCode="0.0"/>
    <numFmt numFmtId="172" formatCode="_-&quot;$&quot;* #,##0_-;\-&quot;$&quot;* #,##0_-;_-&quot;$&quot;* &quot;-&quot;??_-;_-@_-"/>
    <numFmt numFmtId="176" formatCode="[$-C09]dd\-mmm\-yy;@"/>
    <numFmt numFmtId="177" formatCode="_(* #,##0.0_);_(* \(#,##0.0\);_(* &quot;-&quot;??_);_(@_)"/>
    <numFmt numFmtId="178" formatCode="_(&quot;$&quot;* #,##0_);_(&quot;$&quot;* \(#,##0\);_(&quot;$&quot;* &quot;-&quot;??_);_(@_)"/>
    <numFmt numFmtId="179" formatCode="_(* #,##0_);_(* \(#,##0\);_(* &quot;-&quot;??_);_(@_)"/>
    <numFmt numFmtId="184" formatCode="0.0000"/>
  </numFmts>
  <fonts count="39">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sz val="8"/>
      <name val="Calibri"/>
      <family val="2"/>
      <scheme val="minor"/>
    </font>
    <font>
      <u/>
      <sz val="11"/>
      <color theme="10"/>
      <name val="Calibri"/>
      <family val="2"/>
      <scheme val="minor"/>
    </font>
    <font>
      <sz val="10"/>
      <color theme="1"/>
      <name val="Poppins regular"/>
    </font>
    <font>
      <b/>
      <sz val="10"/>
      <color theme="1"/>
      <name val="Poppins regular"/>
    </font>
    <font>
      <b/>
      <i/>
      <sz val="10"/>
      <color theme="1"/>
      <name val="Poppins regular"/>
    </font>
    <font>
      <b/>
      <sz val="10"/>
      <color theme="0"/>
      <name val="Poppins regular"/>
    </font>
    <font>
      <b/>
      <sz val="10"/>
      <name val="Poppins regular"/>
    </font>
    <font>
      <sz val="10"/>
      <name val="Poppins regular"/>
    </font>
    <font>
      <b/>
      <sz val="10"/>
      <color rgb="FF3F3F3F"/>
      <name val="Poppins regular"/>
    </font>
    <font>
      <i/>
      <sz val="10"/>
      <color theme="1"/>
      <name val="Poppins regular"/>
    </font>
    <font>
      <sz val="10"/>
      <color rgb="FFFA7D00"/>
      <name val="Poppins regular"/>
    </font>
    <font>
      <sz val="10"/>
      <color theme="3"/>
      <name val="Poppins regular"/>
    </font>
    <font>
      <sz val="10"/>
      <color rgb="FF3F3F76"/>
      <name val="Poppins regular"/>
    </font>
    <font>
      <sz val="10"/>
      <color rgb="FF3F3F3F"/>
      <name val="Poppins regular"/>
    </font>
    <font>
      <u/>
      <sz val="10"/>
      <color theme="10"/>
      <name val="Poppins regular"/>
    </font>
    <font>
      <vertAlign val="superscript"/>
      <sz val="10"/>
      <color theme="1"/>
      <name val="Poppins regular"/>
    </font>
    <font>
      <i/>
      <sz val="10"/>
      <color rgb="FFFF0000"/>
      <name val="Poppins regular"/>
    </font>
    <font>
      <sz val="10"/>
      <name val="Arial"/>
      <family val="2"/>
    </font>
    <font>
      <sz val="10"/>
      <color theme="0"/>
      <name val="Poppins regular"/>
    </font>
    <font>
      <u/>
      <sz val="10"/>
      <color theme="1"/>
      <name val="Poppins regular"/>
    </font>
    <font>
      <b/>
      <i/>
      <sz val="10"/>
      <color rgb="FF3F3F3F"/>
      <name val="Poppins regular"/>
    </font>
    <font>
      <b/>
      <i/>
      <sz val="10"/>
      <color theme="0"/>
      <name val="Poppins regular"/>
    </font>
    <font>
      <b/>
      <sz val="9"/>
      <color theme="0"/>
      <name val="Arial"/>
      <family val="2"/>
    </font>
    <font>
      <b/>
      <sz val="9"/>
      <color theme="1"/>
      <name val="Arial"/>
      <family val="2"/>
    </font>
    <font>
      <sz val="10"/>
      <color theme="1"/>
      <name val="Calibri"/>
      <family val="2"/>
      <scheme val="minor"/>
    </font>
    <font>
      <sz val="10"/>
      <color theme="9"/>
      <name val="Poppins regular"/>
    </font>
    <font>
      <sz val="10"/>
      <name val="Calibri"/>
      <family val="2"/>
      <scheme val="minor"/>
    </font>
    <font>
      <b/>
      <sz val="10"/>
      <color theme="1"/>
      <name val="Calibri"/>
      <family val="2"/>
      <scheme val="minor"/>
    </font>
    <font>
      <sz val="9"/>
      <color theme="0"/>
      <name val="Poppins regular"/>
    </font>
    <font>
      <sz val="9"/>
      <color theme="1"/>
      <name val="Poppins regular"/>
    </font>
    <font>
      <b/>
      <sz val="11"/>
      <color theme="0"/>
      <name val="Poppins regular"/>
    </font>
    <font>
      <b/>
      <u/>
      <sz val="10"/>
      <color theme="1"/>
      <name val="Poppins regular"/>
    </font>
  </fonts>
  <fills count="13">
    <fill>
      <patternFill patternType="none"/>
    </fill>
    <fill>
      <patternFill patternType="gray125"/>
    </fill>
    <fill>
      <patternFill patternType="solid">
        <fgColor rgb="FFF2F2F2"/>
      </patternFill>
    </fill>
    <fill>
      <patternFill patternType="solid">
        <fgColor rgb="FFFFFFCC"/>
      </patternFill>
    </fill>
    <fill>
      <patternFill patternType="solid">
        <fgColor theme="1"/>
        <bgColor indexed="64"/>
      </patternFill>
    </fill>
    <fill>
      <patternFill patternType="solid">
        <fgColor rgb="FFFFCC99"/>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010847"/>
        <bgColor indexed="64"/>
      </patternFill>
    </fill>
    <fill>
      <patternFill patternType="solid">
        <fgColor rgb="FF01AF81"/>
        <bgColor indexed="64"/>
      </patternFill>
    </fill>
    <fill>
      <patternFill patternType="solid">
        <fgColor indexed="9"/>
        <bgColor indexed="64"/>
      </patternFill>
    </fill>
  </fills>
  <borders count="22">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thin">
        <color rgb="FFB2B2B2"/>
      </left>
      <right/>
      <top style="thin">
        <color rgb="FFB2B2B2"/>
      </top>
      <bottom style="thin">
        <color rgb="FFB2B2B2"/>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style="thin">
        <color rgb="FFB2B2B2"/>
      </right>
      <top style="thin">
        <color rgb="FFB2B2B2"/>
      </top>
      <bottom style="thin">
        <color rgb="FFB2B2B2"/>
      </bottom>
      <diagonal/>
    </border>
    <border>
      <left/>
      <right style="thin">
        <color theme="2" tint="-0.24994659260841701"/>
      </right>
      <top style="thin">
        <color theme="2" tint="-0.24994659260841701"/>
      </top>
      <bottom style="thin">
        <color theme="2" tint="-0.24994659260841701"/>
      </bottom>
      <diagonal/>
    </border>
    <border>
      <left style="thin">
        <color auto="1"/>
      </left>
      <right style="thin">
        <color auto="1"/>
      </right>
      <top/>
      <bottom/>
      <diagonal/>
    </border>
    <border>
      <left style="thin">
        <color theme="2" tint="-9.9978637043366805E-2"/>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rgb="FF3F3F3F"/>
      </left>
      <right style="thin">
        <color rgb="FF3F3F3F"/>
      </right>
      <top/>
      <bottom style="thin">
        <color rgb="FF3F3F3F"/>
      </bottom>
      <diagonal/>
    </border>
    <border>
      <left style="thin">
        <color indexed="64"/>
      </left>
      <right style="thin">
        <color indexed="64"/>
      </right>
      <top style="thin">
        <color indexed="64"/>
      </top>
      <bottom/>
      <diagonal/>
    </border>
    <border>
      <left/>
      <right/>
      <top style="thin">
        <color rgb="FFB2B2B2"/>
      </top>
      <bottom style="thin">
        <color rgb="FFB2B2B2"/>
      </bottom>
      <diagonal/>
    </border>
    <border>
      <left style="thin">
        <color rgb="FFB2B2B2"/>
      </left>
      <right/>
      <top/>
      <bottom style="thin">
        <color rgb="FFB2B2B2"/>
      </bottom>
      <diagonal/>
    </border>
  </borders>
  <cellStyleXfs count="25">
    <xf numFmtId="0" fontId="0" fillId="0" borderId="0"/>
    <xf numFmtId="0" fontId="2" fillId="2" borderId="1" applyNumberFormat="0" applyAlignment="0" applyProtection="0"/>
    <xf numFmtId="0" fontId="1" fillId="3" borderId="2" applyNumberFormat="0" applyFont="0" applyAlignment="0" applyProtection="0"/>
    <xf numFmtId="0" fontId="4" fillId="5" borderId="3" applyNumberFormat="0" applyAlignment="0" applyProtection="0"/>
    <xf numFmtId="0" fontId="5" fillId="2" borderId="3" applyNumberFormat="0" applyAlignment="0" applyProtection="0"/>
    <xf numFmtId="0" fontId="6" fillId="0" borderId="4" applyNumberFormat="0" applyFill="0" applyAlignment="0" applyProtection="0"/>
    <xf numFmtId="0" fontId="3" fillId="0" borderId="5" applyNumberFormat="0" applyFill="0" applyAlignment="0" applyProtection="0"/>
    <xf numFmtId="0" fontId="1" fillId="0" borderId="6"/>
    <xf numFmtId="0" fontId="3" fillId="0" borderId="7">
      <alignment horizontal="center" vertical="center" textRotation="90"/>
    </xf>
    <xf numFmtId="0" fontId="3" fillId="0" borderId="7">
      <alignment horizontal="center" vertical="center" textRotation="90"/>
    </xf>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6">
      <alignment horizontal="center" vertical="center" wrapText="1"/>
    </xf>
    <xf numFmtId="0" fontId="3" fillId="0" borderId="0">
      <alignment horizontal="right"/>
    </xf>
    <xf numFmtId="0" fontId="8" fillId="0" borderId="0" applyNumberFormat="0" applyFill="0" applyBorder="0" applyAlignment="0" applyProtection="0"/>
    <xf numFmtId="0" fontId="1" fillId="0" borderId="0"/>
    <xf numFmtId="0" fontId="1" fillId="0" borderId="0"/>
    <xf numFmtId="9" fontId="24" fillId="0" borderId="0" applyFont="0" applyFill="0" applyBorder="0" applyAlignment="0" applyProtection="0"/>
    <xf numFmtId="0" fontId="24" fillId="0" borderId="6">
      <alignment horizontal="center"/>
      <protection hidden="1"/>
    </xf>
    <xf numFmtId="0" fontId="24" fillId="0" borderId="0"/>
    <xf numFmtId="0" fontId="1" fillId="0" borderId="0"/>
    <xf numFmtId="165" fontId="24" fillId="0" borderId="0" applyFont="0" applyFill="0" applyBorder="0" applyAlignment="0" applyProtection="0"/>
    <xf numFmtId="165" fontId="24" fillId="0" borderId="0" applyFont="0" applyFill="0" applyBorder="0" applyAlignment="0" applyProtection="0"/>
    <xf numFmtId="0" fontId="24" fillId="0" borderId="0"/>
  </cellStyleXfs>
  <cellXfs count="213">
    <xf numFmtId="0" fontId="0" fillId="0" borderId="0" xfId="0"/>
    <xf numFmtId="3" fontId="18" fillId="3" borderId="2" xfId="2" applyNumberFormat="1" applyFont="1" applyAlignment="1" applyProtection="1">
      <alignment horizontal="left" vertical="center"/>
      <protection hidden="1"/>
    </xf>
    <xf numFmtId="178" fontId="15" fillId="2" borderId="1" xfId="1" applyNumberFormat="1" applyFont="1" applyProtection="1"/>
    <xf numFmtId="0" fontId="9" fillId="0" borderId="0" xfId="0" applyFont="1" applyProtection="1"/>
    <xf numFmtId="0" fontId="12" fillId="10" borderId="0" xfId="0" applyFont="1" applyFill="1" applyAlignment="1" applyProtection="1">
      <alignment horizontal="left" vertical="center"/>
    </xf>
    <xf numFmtId="0" fontId="12" fillId="10" borderId="0" xfId="0" applyFont="1" applyFill="1" applyAlignment="1" applyProtection="1">
      <alignment vertical="center"/>
    </xf>
    <xf numFmtId="0" fontId="9" fillId="8" borderId="0" xfId="2" applyFont="1" applyFill="1" applyBorder="1" applyAlignment="1" applyProtection="1">
      <alignment vertical="center"/>
    </xf>
    <xf numFmtId="0" fontId="12" fillId="11" borderId="0" xfId="0" applyFont="1" applyFill="1" applyAlignment="1" applyProtection="1">
      <alignment vertical="center"/>
    </xf>
    <xf numFmtId="0" fontId="9" fillId="0" borderId="0" xfId="0" applyFont="1" applyAlignment="1" applyProtection="1">
      <alignment horizontal="left"/>
    </xf>
    <xf numFmtId="0" fontId="10" fillId="0" borderId="0" xfId="0" applyFont="1" applyAlignment="1" applyProtection="1">
      <alignment horizontal="left"/>
    </xf>
    <xf numFmtId="0" fontId="10" fillId="0" borderId="0" xfId="0" applyFont="1" applyAlignment="1" applyProtection="1">
      <alignment horizontal="right"/>
    </xf>
    <xf numFmtId="0" fontId="11" fillId="0" borderId="0" xfId="0" applyFont="1" applyProtection="1"/>
    <xf numFmtId="0" fontId="9" fillId="0" borderId="0" xfId="0" applyFont="1" applyAlignment="1" applyProtection="1">
      <alignment horizontal="right"/>
    </xf>
    <xf numFmtId="0" fontId="10" fillId="0" borderId="0" xfId="0" applyFont="1" applyProtection="1"/>
    <xf numFmtId="172" fontId="10" fillId="0" borderId="6" xfId="11" applyNumberFormat="1" applyFont="1" applyFill="1" applyBorder="1" applyAlignment="1" applyProtection="1">
      <alignment horizontal="left"/>
    </xf>
    <xf numFmtId="0" fontId="10" fillId="0" borderId="0" xfId="0" applyFont="1" applyAlignment="1" applyProtection="1">
      <alignment horizontal="left" vertical="top"/>
    </xf>
    <xf numFmtId="0" fontId="10" fillId="0" borderId="0" xfId="0" applyFont="1" applyAlignment="1" applyProtection="1">
      <alignment horizontal="right" vertical="top"/>
    </xf>
    <xf numFmtId="0" fontId="9" fillId="3" borderId="2" xfId="2" applyFont="1" applyAlignment="1" applyProtection="1">
      <alignment horizontal="left" vertical="top" wrapText="1"/>
    </xf>
    <xf numFmtId="0" fontId="36" fillId="3" borderId="2" xfId="2" applyFont="1" applyAlignment="1" applyProtection="1">
      <alignment horizontal="left" vertical="top" wrapText="1"/>
    </xf>
    <xf numFmtId="0" fontId="21" fillId="8" borderId="6" xfId="15" applyFont="1" applyFill="1" applyBorder="1" applyProtection="1"/>
    <xf numFmtId="0" fontId="14" fillId="3" borderId="2" xfId="2" applyFont="1" applyProtection="1"/>
    <xf numFmtId="176" fontId="14" fillId="3" borderId="2" xfId="2" applyNumberFormat="1" applyFont="1" applyAlignment="1" applyProtection="1">
      <alignment horizontal="center"/>
    </xf>
    <xf numFmtId="0" fontId="9" fillId="6" borderId="6" xfId="0" applyFont="1" applyFill="1" applyBorder="1" applyProtection="1">
      <protection locked="0"/>
    </xf>
    <xf numFmtId="0" fontId="9" fillId="6" borderId="6" xfId="0" applyFont="1" applyFill="1" applyBorder="1" applyAlignment="1" applyProtection="1">
      <alignment wrapText="1"/>
      <protection locked="0"/>
    </xf>
    <xf numFmtId="0" fontId="11" fillId="8" borderId="0" xfId="0" applyFont="1" applyFill="1" applyAlignment="1" applyProtection="1">
      <alignment vertical="top"/>
    </xf>
    <xf numFmtId="0" fontId="9" fillId="8" borderId="0" xfId="0" applyFont="1" applyFill="1" applyProtection="1"/>
    <xf numFmtId="0" fontId="21" fillId="8" borderId="14" xfId="15" applyFont="1" applyFill="1" applyBorder="1" applyProtection="1"/>
    <xf numFmtId="0" fontId="9" fillId="8" borderId="15" xfId="0" applyFont="1" applyFill="1" applyBorder="1" applyProtection="1"/>
    <xf numFmtId="0" fontId="11" fillId="8" borderId="0" xfId="0" applyFont="1" applyFill="1" applyProtection="1"/>
    <xf numFmtId="0" fontId="28" fillId="4" borderId="0" xfId="0" applyFont="1" applyFill="1" applyAlignment="1" applyProtection="1">
      <alignment vertical="center"/>
    </xf>
    <xf numFmtId="0" fontId="25" fillId="4" borderId="0" xfId="0" applyFont="1" applyFill="1" applyProtection="1"/>
    <xf numFmtId="0" fontId="26" fillId="8" borderId="0" xfId="0" applyFont="1" applyFill="1" applyProtection="1"/>
    <xf numFmtId="0" fontId="38" fillId="8" borderId="0" xfId="0" applyFont="1" applyFill="1" applyProtection="1"/>
    <xf numFmtId="0" fontId="21" fillId="8" borderId="0" xfId="15" applyFont="1" applyFill="1" applyProtection="1"/>
    <xf numFmtId="0" fontId="9" fillId="8" borderId="0" xfId="0" applyFont="1" applyFill="1" applyAlignment="1" applyProtection="1">
      <alignment horizontal="left"/>
    </xf>
    <xf numFmtId="0" fontId="21" fillId="8" borderId="0" xfId="15" applyFont="1" applyFill="1" applyAlignment="1" applyProtection="1">
      <alignment vertical="top"/>
    </xf>
    <xf numFmtId="0" fontId="9" fillId="4" borderId="0" xfId="0" applyFont="1" applyFill="1" applyProtection="1"/>
    <xf numFmtId="0" fontId="9" fillId="0" borderId="0" xfId="0" applyFont="1" applyAlignment="1" applyProtection="1">
      <alignment vertical="center"/>
    </xf>
    <xf numFmtId="0" fontId="11" fillId="0" borderId="0" xfId="0" applyFont="1" applyAlignment="1" applyProtection="1">
      <alignment vertical="center"/>
    </xf>
    <xf numFmtId="0" fontId="9" fillId="0" borderId="0" xfId="0" applyFont="1" applyAlignment="1" applyProtection="1">
      <alignment horizontal="center" vertical="center"/>
    </xf>
    <xf numFmtId="44" fontId="9" fillId="0" borderId="0" xfId="0" applyNumberFormat="1" applyFont="1" applyAlignment="1" applyProtection="1">
      <alignment vertical="center"/>
    </xf>
    <xf numFmtId="0" fontId="21" fillId="8" borderId="14" xfId="15" applyFont="1" applyFill="1" applyBorder="1" applyAlignment="1" applyProtection="1">
      <alignment vertical="center"/>
    </xf>
    <xf numFmtId="49" fontId="10" fillId="0" borderId="6" xfId="0" applyNumberFormat="1" applyFont="1" applyBorder="1" applyAlignment="1" applyProtection="1">
      <alignment horizontal="left" vertical="center"/>
    </xf>
    <xf numFmtId="0" fontId="9" fillId="0" borderId="17" xfId="0" applyFont="1" applyBorder="1" applyAlignment="1" applyProtection="1">
      <alignment vertical="center"/>
    </xf>
    <xf numFmtId="0" fontId="9" fillId="0" borderId="15" xfId="0" applyFont="1" applyBorder="1" applyAlignment="1" applyProtection="1">
      <alignment vertical="center"/>
    </xf>
    <xf numFmtId="0" fontId="12" fillId="10" borderId="0" xfId="0" applyFont="1" applyFill="1" applyAlignment="1" applyProtection="1">
      <alignment horizontal="left" vertical="center" indent="1"/>
    </xf>
    <xf numFmtId="0" fontId="12" fillId="10" borderId="0" xfId="0" applyFont="1" applyFill="1" applyAlignment="1" applyProtection="1">
      <alignment horizontal="center" vertical="center"/>
    </xf>
    <xf numFmtId="0" fontId="12" fillId="4" borderId="0" xfId="0" applyFont="1" applyFill="1" applyAlignment="1" applyProtection="1">
      <alignment horizontal="left" vertical="center" indent="1"/>
    </xf>
    <xf numFmtId="0" fontId="12" fillId="4" borderId="0" xfId="0" applyFont="1" applyFill="1" applyAlignment="1" applyProtection="1">
      <alignment horizontal="center" vertical="center"/>
    </xf>
    <xf numFmtId="0" fontId="12" fillId="4" borderId="0" xfId="0" applyFont="1" applyFill="1" applyAlignment="1" applyProtection="1">
      <alignment vertical="center"/>
    </xf>
    <xf numFmtId="0" fontId="12" fillId="11" borderId="14" xfId="0" applyFont="1" applyFill="1" applyBorder="1" applyAlignment="1" applyProtection="1">
      <alignment vertical="center"/>
    </xf>
    <xf numFmtId="0" fontId="12" fillId="11" borderId="17" xfId="0" applyFont="1" applyFill="1" applyBorder="1" applyAlignment="1" applyProtection="1">
      <alignment vertical="center"/>
    </xf>
    <xf numFmtId="172" fontId="12" fillId="11" borderId="17" xfId="11" applyNumberFormat="1" applyFont="1" applyFill="1" applyBorder="1" applyAlignment="1" applyProtection="1">
      <alignment vertical="center"/>
    </xf>
    <xf numFmtId="0" fontId="12" fillId="11" borderId="15" xfId="0" applyFont="1" applyFill="1" applyBorder="1" applyAlignment="1" applyProtection="1">
      <alignment vertical="center"/>
    </xf>
    <xf numFmtId="0" fontId="9" fillId="3" borderId="21" xfId="2" applyFont="1" applyBorder="1" applyAlignment="1" applyProtection="1">
      <alignment horizontal="left" vertical="center" indent="1"/>
    </xf>
    <xf numFmtId="172" fontId="9" fillId="7" borderId="16" xfId="11" applyNumberFormat="1" applyFont="1" applyFill="1" applyBorder="1" applyAlignment="1" applyProtection="1">
      <alignment vertical="center"/>
    </xf>
    <xf numFmtId="172" fontId="9" fillId="0" borderId="16" xfId="11" applyNumberFormat="1" applyFont="1" applyBorder="1" applyAlignment="1" applyProtection="1">
      <alignment vertical="center"/>
    </xf>
    <xf numFmtId="172" fontId="15" fillId="0" borderId="18" xfId="1" applyNumberFormat="1" applyFont="1" applyFill="1" applyBorder="1" applyAlignment="1" applyProtection="1">
      <alignment vertical="center"/>
    </xf>
    <xf numFmtId="172" fontId="9" fillId="7" borderId="6" xfId="11" applyNumberFormat="1" applyFont="1" applyFill="1" applyBorder="1" applyAlignment="1" applyProtection="1">
      <alignment vertical="center"/>
    </xf>
    <xf numFmtId="172" fontId="9" fillId="0" borderId="6" xfId="11" applyNumberFormat="1" applyFont="1" applyBorder="1" applyAlignment="1" applyProtection="1">
      <alignment vertical="center"/>
    </xf>
    <xf numFmtId="172" fontId="15" fillId="0" borderId="1" xfId="1" applyNumberFormat="1" applyFont="1" applyFill="1" applyAlignment="1" applyProtection="1">
      <alignment vertical="center"/>
    </xf>
    <xf numFmtId="0" fontId="25" fillId="0" borderId="0" xfId="0" applyFont="1" applyAlignment="1" applyProtection="1">
      <alignment vertical="center"/>
    </xf>
    <xf numFmtId="172" fontId="12" fillId="11" borderId="17" xfId="0" applyNumberFormat="1" applyFont="1" applyFill="1" applyBorder="1" applyAlignment="1" applyProtection="1">
      <alignment vertical="center"/>
    </xf>
    <xf numFmtId="0" fontId="9" fillId="3" borderId="8" xfId="2" applyFont="1" applyBorder="1" applyAlignment="1" applyProtection="1">
      <alignment horizontal="left" vertical="center" indent="1"/>
    </xf>
    <xf numFmtId="44" fontId="9" fillId="7" borderId="6" xfId="11" applyFont="1" applyFill="1" applyBorder="1" applyAlignment="1" applyProtection="1">
      <alignment vertical="center"/>
    </xf>
    <xf numFmtId="44" fontId="9" fillId="0" borderId="6" xfId="11" applyFont="1" applyBorder="1" applyAlignment="1" applyProtection="1">
      <alignment vertical="center"/>
    </xf>
    <xf numFmtId="3" fontId="9" fillId="3" borderId="8" xfId="2" applyNumberFormat="1" applyFont="1" applyBorder="1" applyAlignment="1" applyProtection="1">
      <alignment horizontal="left" vertical="center" indent="1"/>
    </xf>
    <xf numFmtId="172" fontId="9" fillId="7" borderId="6" xfId="11" applyNumberFormat="1" applyFont="1" applyFill="1" applyBorder="1" applyAlignment="1" applyProtection="1">
      <alignment horizontal="left" vertical="center"/>
    </xf>
    <xf numFmtId="44" fontId="9" fillId="7" borderId="6" xfId="11" applyFont="1" applyFill="1" applyBorder="1" applyAlignment="1" applyProtection="1">
      <alignment horizontal="left" vertical="center"/>
    </xf>
    <xf numFmtId="44" fontId="15" fillId="0" borderId="1" xfId="1" applyNumberFormat="1" applyFont="1" applyFill="1" applyAlignment="1" applyProtection="1">
      <alignment vertical="center"/>
    </xf>
    <xf numFmtId="44" fontId="9" fillId="3" borderId="8" xfId="2" applyNumberFormat="1" applyFont="1" applyBorder="1" applyAlignment="1" applyProtection="1">
      <alignment horizontal="left" vertical="center" indent="1"/>
    </xf>
    <xf numFmtId="0" fontId="9" fillId="3" borderId="2" xfId="2" applyFont="1" applyAlignment="1" applyProtection="1">
      <alignment horizontal="left" vertical="center" indent="1"/>
    </xf>
    <xf numFmtId="44" fontId="9" fillId="3" borderId="8" xfId="2" applyNumberFormat="1" applyFont="1" applyBorder="1" applyAlignment="1" applyProtection="1">
      <alignment horizontal="left" vertical="center" wrapText="1" indent="1"/>
    </xf>
    <xf numFmtId="0" fontId="13" fillId="0" borderId="0" xfId="0" applyFont="1" applyAlignment="1" applyProtection="1">
      <alignment horizontal="center" vertical="center" wrapText="1"/>
    </xf>
    <xf numFmtId="0" fontId="9" fillId="8" borderId="0" xfId="0" applyFont="1" applyFill="1" applyAlignment="1" applyProtection="1">
      <alignment vertical="center"/>
    </xf>
    <xf numFmtId="0" fontId="12" fillId="4" borderId="14" xfId="0" applyFont="1" applyFill="1" applyBorder="1" applyAlignment="1" applyProtection="1">
      <alignment horizontal="left" vertical="center" indent="1"/>
    </xf>
    <xf numFmtId="0" fontId="10" fillId="4" borderId="14" xfId="0" applyFont="1" applyFill="1" applyBorder="1" applyAlignment="1" applyProtection="1">
      <alignment vertical="center"/>
    </xf>
    <xf numFmtId="172" fontId="29" fillId="4" borderId="6" xfId="11" applyNumberFormat="1" applyFont="1" applyFill="1" applyBorder="1" applyAlignment="1" applyProtection="1">
      <alignment horizontal="center" vertical="center"/>
    </xf>
    <xf numFmtId="0" fontId="9" fillId="4" borderId="0" xfId="0" applyFont="1" applyFill="1" applyAlignment="1" applyProtection="1">
      <alignment vertical="center"/>
    </xf>
    <xf numFmtId="172" fontId="25" fillId="0" borderId="0" xfId="0" applyNumberFormat="1" applyFont="1" applyAlignment="1" applyProtection="1">
      <alignment vertical="center"/>
    </xf>
    <xf numFmtId="172" fontId="9" fillId="0" borderId="0" xfId="0" applyNumberFormat="1" applyFont="1" applyAlignment="1" applyProtection="1">
      <alignment horizontal="center" vertical="center"/>
    </xf>
    <xf numFmtId="0" fontId="12" fillId="11" borderId="17" xfId="0" applyFont="1" applyFill="1" applyBorder="1" applyAlignment="1" applyProtection="1">
      <alignment horizontal="center" vertical="center"/>
    </xf>
    <xf numFmtId="0" fontId="9" fillId="3" borderId="2" xfId="2" applyFont="1" applyAlignment="1" applyProtection="1">
      <alignment vertical="center"/>
    </xf>
    <xf numFmtId="172" fontId="9" fillId="0" borderId="9" xfId="11" applyNumberFormat="1" applyFont="1" applyBorder="1" applyAlignment="1" applyProtection="1">
      <alignment vertical="center"/>
    </xf>
    <xf numFmtId="10" fontId="30" fillId="12" borderId="6" xfId="0" applyNumberFormat="1" applyFont="1" applyFill="1" applyBorder="1" applyAlignment="1" applyProtection="1">
      <alignment horizontal="center" vertical="center"/>
    </xf>
    <xf numFmtId="10" fontId="9" fillId="0" borderId="6" xfId="12" applyNumberFormat="1" applyFont="1" applyBorder="1" applyAlignment="1" applyProtection="1">
      <alignment vertical="center"/>
    </xf>
    <xf numFmtId="0" fontId="29" fillId="4" borderId="17" xfId="0" applyFont="1" applyFill="1" applyBorder="1" applyAlignment="1" applyProtection="1">
      <alignment horizontal="left" vertical="center" indent="1"/>
    </xf>
    <xf numFmtId="0" fontId="29" fillId="4" borderId="6" xfId="0" applyFont="1" applyFill="1" applyBorder="1" applyAlignment="1" applyProtection="1">
      <alignment horizontal="left" vertical="center" indent="1"/>
    </xf>
    <xf numFmtId="0" fontId="37" fillId="10" borderId="0" xfId="0" applyFont="1" applyFill="1" applyAlignment="1" applyProtection="1">
      <alignment horizontal="left" vertical="center" indent="1"/>
    </xf>
    <xf numFmtId="172" fontId="37" fillId="10" borderId="0" xfId="11" applyNumberFormat="1" applyFont="1" applyFill="1" applyAlignment="1" applyProtection="1">
      <alignment horizontal="left" vertical="center" indent="1"/>
    </xf>
    <xf numFmtId="170" fontId="9" fillId="6" borderId="16" xfId="10" applyNumberFormat="1" applyFont="1" applyFill="1" applyBorder="1" applyAlignment="1" applyProtection="1">
      <alignment horizontal="center" vertical="center" wrapText="1"/>
      <protection locked="0"/>
    </xf>
    <xf numFmtId="170" fontId="9" fillId="6" borderId="6" xfId="10" applyNumberFormat="1" applyFont="1" applyFill="1" applyBorder="1" applyAlignment="1" applyProtection="1">
      <alignment horizontal="center" vertical="center" wrapText="1"/>
      <protection locked="0"/>
    </xf>
    <xf numFmtId="1" fontId="9" fillId="6" borderId="6" xfId="10" applyNumberFormat="1" applyFont="1" applyFill="1" applyBorder="1" applyAlignment="1" applyProtection="1">
      <alignment horizontal="center" vertical="center" wrapText="1"/>
      <protection locked="0"/>
    </xf>
    <xf numFmtId="44" fontId="14" fillId="6" borderId="16" xfId="11" applyFont="1" applyFill="1" applyBorder="1" applyAlignment="1" applyProtection="1">
      <alignment vertical="center"/>
      <protection locked="0"/>
    </xf>
    <xf numFmtId="44" fontId="14" fillId="6" borderId="6" xfId="11" applyFont="1" applyFill="1" applyBorder="1" applyAlignment="1" applyProtection="1">
      <alignment vertical="center"/>
      <protection locked="0"/>
    </xf>
    <xf numFmtId="49" fontId="9" fillId="6" borderId="16" xfId="10" applyNumberFormat="1" applyFont="1" applyFill="1" applyBorder="1" applyAlignment="1" applyProtection="1">
      <alignment horizontal="left" vertical="center" wrapText="1"/>
      <protection locked="0"/>
    </xf>
    <xf numFmtId="49" fontId="9" fillId="6" borderId="6" xfId="10" applyNumberFormat="1" applyFont="1" applyFill="1" applyBorder="1" applyAlignment="1" applyProtection="1">
      <alignment horizontal="left" vertical="center" wrapText="1"/>
      <protection locked="0"/>
    </xf>
    <xf numFmtId="49" fontId="9" fillId="6" borderId="6" xfId="10" applyNumberFormat="1" applyFont="1" applyFill="1" applyBorder="1" applyAlignment="1" applyProtection="1">
      <alignment horizontal="left" vertical="center"/>
      <protection locked="0"/>
    </xf>
    <xf numFmtId="171" fontId="9" fillId="6" borderId="6" xfId="10" applyNumberFormat="1" applyFont="1" applyFill="1" applyBorder="1" applyAlignment="1" applyProtection="1">
      <alignment horizontal="center" vertical="center" wrapText="1"/>
      <protection locked="0"/>
    </xf>
    <xf numFmtId="49" fontId="9" fillId="6" borderId="6" xfId="10" applyNumberFormat="1" applyFont="1" applyFill="1" applyBorder="1" applyAlignment="1" applyProtection="1">
      <alignment horizontal="left" vertical="center" wrapText="1" indent="1"/>
      <protection locked="0"/>
    </xf>
    <xf numFmtId="49" fontId="9" fillId="6" borderId="0" xfId="10" applyNumberFormat="1" applyFont="1" applyFill="1" applyBorder="1" applyAlignment="1" applyProtection="1">
      <alignment horizontal="left" vertical="center"/>
      <protection locked="0"/>
    </xf>
    <xf numFmtId="49" fontId="9" fillId="6" borderId="15" xfId="10" applyNumberFormat="1" applyFont="1" applyFill="1" applyBorder="1" applyAlignment="1" applyProtection="1">
      <alignment horizontal="left" vertical="center"/>
      <protection locked="0"/>
    </xf>
    <xf numFmtId="0" fontId="9" fillId="6" borderId="8" xfId="2" applyFont="1" applyFill="1" applyBorder="1" applyAlignment="1" applyProtection="1">
      <alignment horizontal="left" vertical="center" indent="1"/>
      <protection locked="0"/>
    </xf>
    <xf numFmtId="2" fontId="9" fillId="6" borderId="6" xfId="10" applyNumberFormat="1" applyFont="1" applyFill="1" applyBorder="1" applyAlignment="1" applyProtection="1">
      <alignment horizontal="center" vertical="center" wrapText="1"/>
      <protection locked="0"/>
    </xf>
    <xf numFmtId="10" fontId="30" fillId="6" borderId="6" xfId="0" applyNumberFormat="1" applyFont="1" applyFill="1" applyBorder="1" applyAlignment="1" applyProtection="1">
      <alignment horizontal="center" vertical="center"/>
      <protection locked="0"/>
    </xf>
    <xf numFmtId="10" fontId="30" fillId="6" borderId="19" xfId="0" applyNumberFormat="1" applyFont="1" applyFill="1" applyBorder="1" applyAlignment="1" applyProtection="1">
      <alignment horizontal="center" vertical="center"/>
      <protection locked="0"/>
    </xf>
    <xf numFmtId="0" fontId="9" fillId="0" borderId="0" xfId="0" applyFont="1" applyAlignment="1" applyProtection="1">
      <alignment vertical="center" wrapText="1"/>
    </xf>
    <xf numFmtId="0" fontId="21" fillId="8" borderId="6" xfId="15" applyFont="1" applyFill="1" applyBorder="1" applyAlignment="1" applyProtection="1">
      <alignment vertical="center"/>
    </xf>
    <xf numFmtId="0" fontId="12" fillId="4" borderId="0" xfId="0" applyFont="1" applyFill="1" applyProtection="1"/>
    <xf numFmtId="0" fontId="12" fillId="4" borderId="0" xfId="0" applyFont="1" applyFill="1" applyAlignment="1" applyProtection="1">
      <alignment wrapText="1"/>
    </xf>
    <xf numFmtId="0" fontId="32" fillId="0" borderId="0" xfId="0" applyFont="1" applyAlignment="1" applyProtection="1">
      <alignment vertical="center"/>
    </xf>
    <xf numFmtId="0" fontId="10" fillId="9" borderId="14" xfId="0" applyFont="1" applyFill="1" applyBorder="1" applyProtection="1"/>
    <xf numFmtId="0" fontId="9" fillId="9" borderId="17" xfId="0" applyFont="1" applyFill="1" applyBorder="1" applyProtection="1"/>
    <xf numFmtId="0" fontId="9" fillId="9" borderId="17" xfId="0" applyFont="1" applyFill="1" applyBorder="1" applyAlignment="1" applyProtection="1">
      <alignment wrapText="1"/>
    </xf>
    <xf numFmtId="172" fontId="2" fillId="2" borderId="1" xfId="1" applyNumberFormat="1" applyAlignment="1" applyProtection="1">
      <alignment vertical="center"/>
    </xf>
    <xf numFmtId="0" fontId="9" fillId="3" borderId="2" xfId="2" applyFont="1" applyAlignment="1" applyProtection="1">
      <alignment vertical="center" wrapText="1"/>
    </xf>
    <xf numFmtId="3" fontId="9" fillId="3" borderId="2" xfId="2" applyNumberFormat="1" applyFont="1" applyAlignment="1" applyProtection="1">
      <alignment vertical="center"/>
    </xf>
    <xf numFmtId="9" fontId="9" fillId="3" borderId="2" xfId="2" applyNumberFormat="1" applyFont="1" applyAlignment="1" applyProtection="1">
      <alignment vertical="center" wrapText="1"/>
    </xf>
    <xf numFmtId="172" fontId="9" fillId="9" borderId="17" xfId="0" applyNumberFormat="1" applyFont="1" applyFill="1" applyBorder="1" applyProtection="1"/>
    <xf numFmtId="0" fontId="9" fillId="9" borderId="15" xfId="0" applyFont="1" applyFill="1" applyBorder="1" applyAlignment="1" applyProtection="1">
      <alignment wrapText="1"/>
    </xf>
    <xf numFmtId="0" fontId="0" fillId="0" borderId="0" xfId="0" applyProtection="1"/>
    <xf numFmtId="44" fontId="2" fillId="2" borderId="1" xfId="1" applyNumberFormat="1" applyAlignment="1" applyProtection="1">
      <alignment vertical="center"/>
    </xf>
    <xf numFmtId="0" fontId="35" fillId="10" borderId="0" xfId="0" applyFont="1" applyFill="1" applyAlignment="1" applyProtection="1">
      <alignment horizontal="center" vertical="center" wrapText="1"/>
    </xf>
    <xf numFmtId="0" fontId="31" fillId="0" borderId="0" xfId="0" applyFont="1" applyProtection="1"/>
    <xf numFmtId="178" fontId="2" fillId="2" borderId="1" xfId="1" applyNumberFormat="1" applyProtection="1"/>
    <xf numFmtId="0" fontId="34" fillId="0" borderId="0" xfId="0" applyFont="1" applyAlignment="1" applyProtection="1">
      <alignment horizontal="right"/>
    </xf>
    <xf numFmtId="178" fontId="3" fillId="0" borderId="5" xfId="6" applyNumberFormat="1" applyFill="1" applyProtection="1"/>
    <xf numFmtId="172" fontId="31" fillId="0" borderId="0" xfId="11" applyNumberFormat="1" applyFont="1" applyProtection="1"/>
    <xf numFmtId="0" fontId="7" fillId="0" borderId="0" xfId="0" applyFont="1" applyAlignment="1" applyProtection="1">
      <alignment horizontal="center" vertical="center" wrapText="1"/>
    </xf>
    <xf numFmtId="0" fontId="4" fillId="5" borderId="3" xfId="3" applyAlignment="1" applyProtection="1">
      <alignment horizontal="center"/>
    </xf>
    <xf numFmtId="177" fontId="33" fillId="8" borderId="3" xfId="4" applyNumberFormat="1" applyFont="1" applyFill="1" applyProtection="1"/>
    <xf numFmtId="178" fontId="3" fillId="0" borderId="5" xfId="6" applyNumberFormat="1" applyProtection="1"/>
    <xf numFmtId="179" fontId="33" fillId="0" borderId="6" xfId="0" applyNumberFormat="1" applyFont="1" applyBorder="1" applyAlignment="1" applyProtection="1">
      <alignment horizontal="center" wrapText="1"/>
    </xf>
    <xf numFmtId="179" fontId="33" fillId="0" borderId="6" xfId="0" applyNumberFormat="1" applyFont="1" applyBorder="1" applyProtection="1"/>
    <xf numFmtId="171" fontId="0" fillId="0" borderId="6" xfId="0" applyNumberFormat="1" applyBorder="1" applyProtection="1"/>
    <xf numFmtId="1" fontId="0" fillId="0" borderId="6" xfId="0" applyNumberFormat="1" applyBorder="1" applyProtection="1"/>
    <xf numFmtId="0" fontId="0" fillId="0" borderId="6" xfId="0" applyBorder="1" applyProtection="1"/>
    <xf numFmtId="2" fontId="0" fillId="0" borderId="6" xfId="0" applyNumberFormat="1" applyBorder="1" applyProtection="1"/>
    <xf numFmtId="172" fontId="17" fillId="0" borderId="4" xfId="5" applyNumberFormat="1" applyFont="1" applyProtection="1"/>
    <xf numFmtId="172" fontId="5" fillId="2" borderId="3" xfId="11" applyNumberFormat="1" applyFont="1" applyFill="1" applyBorder="1" applyProtection="1"/>
    <xf numFmtId="0" fontId="31" fillId="0" borderId="0" xfId="0" applyFont="1" applyAlignment="1" applyProtection="1">
      <alignment horizontal="right"/>
    </xf>
    <xf numFmtId="0" fontId="33" fillId="0" borderId="6" xfId="0" applyFont="1" applyBorder="1" applyProtection="1"/>
    <xf numFmtId="177" fontId="33" fillId="0" borderId="6" xfId="0" applyNumberFormat="1" applyFont="1" applyBorder="1" applyProtection="1"/>
    <xf numFmtId="172" fontId="19" fillId="8" borderId="3" xfId="11" applyNumberFormat="1" applyFont="1" applyFill="1" applyBorder="1" applyAlignment="1" applyProtection="1"/>
    <xf numFmtId="177" fontId="19" fillId="8" borderId="3" xfId="3" applyNumberFormat="1" applyFont="1" applyFill="1" applyAlignment="1" applyProtection="1"/>
    <xf numFmtId="2" fontId="6" fillId="0" borderId="4" xfId="5" applyNumberFormat="1" applyProtection="1"/>
    <xf numFmtId="171" fontId="33" fillId="0" borderId="6" xfId="0" applyNumberFormat="1" applyFont="1" applyBorder="1" applyProtection="1"/>
    <xf numFmtId="178" fontId="5" fillId="2" borderId="3" xfId="4" applyNumberFormat="1" applyProtection="1"/>
    <xf numFmtId="0" fontId="9" fillId="3" borderId="8" xfId="2" applyFont="1" applyBorder="1" applyAlignment="1" applyProtection="1">
      <alignment vertical="center"/>
    </xf>
    <xf numFmtId="172" fontId="6" fillId="0" borderId="4" xfId="5" applyNumberFormat="1" applyProtection="1"/>
    <xf numFmtId="179" fontId="19" fillId="8" borderId="3" xfId="3" applyNumberFormat="1" applyFont="1" applyFill="1" applyAlignment="1" applyProtection="1"/>
    <xf numFmtId="172" fontId="5" fillId="2" borderId="3" xfId="11" applyNumberFormat="1" applyFont="1" applyFill="1" applyBorder="1" applyAlignment="1" applyProtection="1"/>
    <xf numFmtId="0" fontId="10" fillId="0" borderId="0" xfId="0" applyFont="1" applyAlignment="1" applyProtection="1">
      <alignment vertical="center"/>
    </xf>
    <xf numFmtId="0" fontId="10" fillId="0" borderId="19" xfId="0" applyFont="1" applyBorder="1" applyAlignment="1" applyProtection="1">
      <alignment horizontal="center" vertical="center" textRotation="90" wrapText="1"/>
    </xf>
    <xf numFmtId="0" fontId="9" fillId="3" borderId="20" xfId="2" applyFont="1" applyBorder="1" applyAlignment="1" applyProtection="1">
      <alignment vertical="center"/>
    </xf>
    <xf numFmtId="44" fontId="20" fillId="2" borderId="6" xfId="11" applyFont="1" applyFill="1" applyBorder="1" applyAlignment="1" applyProtection="1">
      <alignment vertical="center"/>
    </xf>
    <xf numFmtId="0" fontId="10" fillId="0" borderId="12" xfId="0" applyFont="1" applyBorder="1" applyAlignment="1" applyProtection="1">
      <alignment horizontal="center" vertical="center" textRotation="90" wrapText="1"/>
    </xf>
    <xf numFmtId="0" fontId="9" fillId="3" borderId="10" xfId="2" applyFont="1" applyBorder="1" applyAlignment="1" applyProtection="1">
      <alignment vertical="center"/>
    </xf>
    <xf numFmtId="0" fontId="10" fillId="0" borderId="16" xfId="0" applyFont="1" applyBorder="1" applyAlignment="1" applyProtection="1">
      <alignment horizontal="center" vertical="center" textRotation="90" wrapText="1"/>
    </xf>
    <xf numFmtId="0" fontId="10" fillId="0" borderId="19" xfId="0" applyFont="1" applyBorder="1" applyAlignment="1" applyProtection="1">
      <alignment horizontal="center" vertical="center" textRotation="90"/>
    </xf>
    <xf numFmtId="0" fontId="10" fillId="0" borderId="12" xfId="0" applyFont="1" applyBorder="1" applyAlignment="1" applyProtection="1">
      <alignment horizontal="center" vertical="center" textRotation="90"/>
    </xf>
    <xf numFmtId="0" fontId="9" fillId="3" borderId="2" xfId="2" quotePrefix="1" applyFont="1" applyAlignment="1" applyProtection="1">
      <alignment vertical="center"/>
    </xf>
    <xf numFmtId="0" fontId="10" fillId="0" borderId="16" xfId="0" applyFont="1" applyBorder="1" applyAlignment="1" applyProtection="1">
      <alignment horizontal="center" vertical="center" textRotation="90"/>
    </xf>
    <xf numFmtId="0" fontId="21" fillId="3" borderId="2" xfId="2" applyFont="1" applyProtection="1"/>
    <xf numFmtId="0" fontId="21" fillId="3" borderId="2" xfId="2" applyFont="1" applyAlignment="1" applyProtection="1">
      <alignment vertical="center"/>
    </xf>
    <xf numFmtId="3" fontId="9" fillId="3" borderId="10" xfId="2" applyNumberFormat="1" applyFont="1" applyBorder="1" applyAlignment="1" applyProtection="1">
      <alignment vertical="center"/>
    </xf>
    <xf numFmtId="0" fontId="10" fillId="0" borderId="6" xfId="0" applyFont="1" applyBorder="1" applyAlignment="1" applyProtection="1">
      <alignment horizontal="center" vertical="center" textRotation="90" wrapText="1"/>
    </xf>
    <xf numFmtId="0" fontId="24" fillId="3" borderId="2" xfId="2" applyFont="1" applyAlignment="1" applyProtection="1">
      <alignment vertical="center"/>
    </xf>
    <xf numFmtId="0" fontId="9" fillId="0" borderId="13" xfId="0" applyFont="1" applyBorder="1" applyAlignment="1" applyProtection="1">
      <alignment vertical="center"/>
    </xf>
    <xf numFmtId="0" fontId="13" fillId="0" borderId="0" xfId="0" applyFont="1" applyAlignment="1" applyProtection="1">
      <alignment horizontal="left" vertical="center"/>
    </xf>
    <xf numFmtId="0" fontId="13" fillId="0" borderId="0" xfId="0" applyFont="1" applyAlignment="1" applyProtection="1">
      <alignment horizontal="center" vertical="center"/>
    </xf>
    <xf numFmtId="0" fontId="12" fillId="0" borderId="0" xfId="0" applyFont="1" applyAlignment="1" applyProtection="1">
      <alignment horizontal="center" vertical="center"/>
    </xf>
    <xf numFmtId="0" fontId="9" fillId="3" borderId="2" xfId="2" applyFont="1" applyProtection="1"/>
    <xf numFmtId="1" fontId="9" fillId="0" borderId="9" xfId="7" applyNumberFormat="1" applyFont="1" applyBorder="1" applyAlignment="1" applyProtection="1">
      <alignment horizontal="center" vertical="center"/>
    </xf>
    <xf numFmtId="0" fontId="9" fillId="0" borderId="11" xfId="7" applyFont="1" applyBorder="1" applyAlignment="1" applyProtection="1">
      <alignment vertical="center"/>
    </xf>
    <xf numFmtId="3" fontId="9" fillId="0" borderId="9" xfId="7" applyNumberFormat="1" applyFont="1" applyBorder="1" applyAlignment="1" applyProtection="1">
      <alignment horizontal="center" vertical="center"/>
    </xf>
    <xf numFmtId="4" fontId="9" fillId="0" borderId="9" xfId="7" applyNumberFormat="1" applyFont="1" applyBorder="1" applyAlignment="1" applyProtection="1">
      <alignment horizontal="center" vertical="center"/>
    </xf>
    <xf numFmtId="184" fontId="9" fillId="0" borderId="11" xfId="7" applyNumberFormat="1" applyFont="1" applyBorder="1" applyAlignment="1" applyProtection="1">
      <alignment horizontal="center" vertical="center"/>
    </xf>
    <xf numFmtId="2" fontId="9" fillId="0" borderId="11" xfId="7" applyNumberFormat="1" applyFont="1" applyBorder="1" applyAlignment="1" applyProtection="1">
      <alignment horizontal="center" vertical="center"/>
    </xf>
    <xf numFmtId="1" fontId="9" fillId="0" borderId="11" xfId="7" applyNumberFormat="1" applyFont="1" applyBorder="1" applyAlignment="1" applyProtection="1">
      <alignment horizontal="center" vertical="center"/>
    </xf>
    <xf numFmtId="171" fontId="9" fillId="0" borderId="11" xfId="7" applyNumberFormat="1" applyFont="1" applyBorder="1" applyAlignment="1" applyProtection="1">
      <alignment horizontal="center" vertical="center"/>
    </xf>
    <xf numFmtId="0" fontId="14" fillId="0" borderId="0" xfId="0" applyFont="1" applyAlignment="1" applyProtection="1">
      <alignment horizontal="left" vertical="center"/>
    </xf>
    <xf numFmtId="0" fontId="14" fillId="3" borderId="2" xfId="2" applyFont="1" applyAlignment="1" applyProtection="1">
      <alignment horizontal="left" vertical="center"/>
    </xf>
    <xf numFmtId="0" fontId="9" fillId="0" borderId="9" xfId="7" applyFont="1" applyBorder="1" applyAlignment="1" applyProtection="1">
      <alignment vertical="center"/>
    </xf>
    <xf numFmtId="0" fontId="12" fillId="3" borderId="10" xfId="2" applyFont="1" applyBorder="1" applyAlignment="1" applyProtection="1">
      <alignment horizontal="center" vertical="center"/>
    </xf>
    <xf numFmtId="9" fontId="9" fillId="0" borderId="11" xfId="12" applyFont="1" applyBorder="1" applyAlignment="1" applyProtection="1">
      <alignment horizontal="center" vertical="center"/>
    </xf>
    <xf numFmtId="0" fontId="8" fillId="3" borderId="2" xfId="2" applyFont="1" applyAlignment="1" applyProtection="1">
      <alignment vertical="center"/>
    </xf>
    <xf numFmtId="2" fontId="9" fillId="0" borderId="0" xfId="0" applyNumberFormat="1" applyFont="1" applyAlignment="1" applyProtection="1">
      <alignment vertical="center"/>
    </xf>
    <xf numFmtId="2" fontId="9" fillId="0" borderId="0" xfId="0" applyNumberFormat="1" applyFont="1" applyAlignment="1" applyProtection="1">
      <alignment horizontal="center" vertical="center"/>
    </xf>
    <xf numFmtId="0" fontId="21" fillId="8" borderId="0" xfId="15" applyFont="1" applyFill="1" applyBorder="1" applyAlignment="1" applyProtection="1">
      <alignment vertical="center"/>
    </xf>
    <xf numFmtId="0" fontId="10" fillId="0" borderId="6" xfId="0" applyFont="1" applyBorder="1" applyProtection="1"/>
    <xf numFmtId="2" fontId="27" fillId="2" borderId="6" xfId="1" applyNumberFormat="1" applyFont="1" applyBorder="1" applyProtection="1"/>
    <xf numFmtId="0" fontId="9" fillId="0" borderId="6" xfId="0" applyFont="1" applyBorder="1" applyProtection="1"/>
    <xf numFmtId="0" fontId="16" fillId="0" borderId="0" xfId="0" applyFont="1" applyProtection="1"/>
    <xf numFmtId="171" fontId="9" fillId="0" borderId="6" xfId="0" applyNumberFormat="1" applyFont="1" applyBorder="1" applyProtection="1"/>
    <xf numFmtId="171" fontId="20" fillId="2" borderId="1" xfId="1" applyNumberFormat="1" applyFont="1" applyProtection="1"/>
    <xf numFmtId="0" fontId="20" fillId="2" borderId="1" xfId="1" applyFont="1" applyProtection="1"/>
    <xf numFmtId="1" fontId="20" fillId="2" borderId="1" xfId="1" applyNumberFormat="1" applyFont="1" applyProtection="1"/>
    <xf numFmtId="0" fontId="9" fillId="0" borderId="0" xfId="0" applyFont="1" applyAlignment="1" applyProtection="1">
      <alignment horizontal="center" vertical="center" wrapText="1"/>
    </xf>
    <xf numFmtId="2" fontId="20" fillId="2" borderId="1" xfId="1" applyNumberFormat="1" applyFont="1" applyProtection="1"/>
    <xf numFmtId="0" fontId="9" fillId="0" borderId="0" xfId="0" applyFont="1" applyAlignment="1" applyProtection="1">
      <alignment wrapText="1"/>
    </xf>
    <xf numFmtId="9" fontId="20" fillId="2" borderId="1" xfId="12" applyFont="1" applyFill="1" applyBorder="1" applyProtection="1"/>
    <xf numFmtId="3" fontId="15" fillId="2" borderId="1" xfId="1" applyNumberFormat="1" applyFont="1" applyProtection="1"/>
    <xf numFmtId="171" fontId="15" fillId="2" borderId="1" xfId="1" applyNumberFormat="1" applyFont="1" applyProtection="1"/>
    <xf numFmtId="0" fontId="0" fillId="0" borderId="0" xfId="0" applyAlignment="1" applyProtection="1">
      <alignment vertical="center"/>
    </xf>
    <xf numFmtId="9" fontId="9" fillId="0" borderId="0" xfId="12" applyFont="1" applyAlignment="1" applyProtection="1">
      <alignment vertical="center"/>
    </xf>
    <xf numFmtId="0" fontId="23" fillId="0" borderId="0" xfId="0" applyFont="1" applyProtection="1"/>
    <xf numFmtId="0" fontId="9" fillId="0" borderId="6" xfId="7" applyFont="1" applyProtection="1"/>
    <xf numFmtId="0" fontId="14" fillId="0" borderId="0" xfId="0" applyFont="1" applyAlignment="1" applyProtection="1">
      <alignment horizontal="center" vertical="center" wrapText="1"/>
    </xf>
    <xf numFmtId="0" fontId="14" fillId="0" borderId="0" xfId="0" applyFont="1" applyProtection="1"/>
    <xf numFmtId="2" fontId="9" fillId="0" borderId="6" xfId="7" applyNumberFormat="1" applyFont="1" applyProtection="1"/>
    <xf numFmtId="3" fontId="9" fillId="0" borderId="6" xfId="7" applyNumberFormat="1" applyFont="1" applyProtection="1"/>
    <xf numFmtId="0" fontId="13" fillId="0" borderId="0" xfId="0" applyFont="1" applyProtection="1"/>
  </cellXfs>
  <cellStyles count="25">
    <cellStyle name="90 degree title" xfId="9" xr:uid="{B0ABF634-7BE9-4E16-9E58-2469B2521CBC}"/>
    <cellStyle name="Accent1" xfId="8" builtinId="29" customBuiltin="1"/>
    <cellStyle name="Activity table header, bold, border, centered" xfId="13" xr:uid="{5C332228-3229-4CF8-9C68-5A968365F9A4}"/>
    <cellStyle name="Calculation" xfId="4" builtinId="22"/>
    <cellStyle name="Comma" xfId="10" builtinId="3"/>
    <cellStyle name="Comma 2 2 2" xfId="22" xr:uid="{CE0D389B-4394-42FA-A3D1-BE8E2756BFE1}"/>
    <cellStyle name="Comma 4" xfId="23" xr:uid="{3E187B01-9681-4A6E-96D5-330730937591}"/>
    <cellStyle name="Currency" xfId="11" builtinId="4"/>
    <cellStyle name="Hyperlink" xfId="15" builtinId="8"/>
    <cellStyle name="Input" xfId="3" builtinId="20"/>
    <cellStyle name="Linked Cell" xfId="5" builtinId="24"/>
    <cellStyle name="Normal" xfId="0" builtinId="0"/>
    <cellStyle name="Normal 2" xfId="16" xr:uid="{0D919A95-BF41-4EFE-9A15-97BDA47D6A39}"/>
    <cellStyle name="Normal 2 3" xfId="21" xr:uid="{1C51E5E6-28DE-4826-B3C5-BF8F751FC28E}"/>
    <cellStyle name="Normal 2 4 2" xfId="20" xr:uid="{6D1989D0-1272-4578-8A85-55B9EC974EDE}"/>
    <cellStyle name="Normal 2 5" xfId="17" xr:uid="{3E86302B-4D63-4977-BD18-F94E8613FDC3}"/>
    <cellStyle name="Normal 4" xfId="24" xr:uid="{51849CFD-85A9-4598-B863-7DDD8CBF0DBE}"/>
    <cellStyle name="Normal border" xfId="7" xr:uid="{93FA1B6B-89F6-4F52-B4F6-478AA00D84E7}"/>
    <cellStyle name="NormalBorderedCentered 2" xfId="19" xr:uid="{C4C55C0F-51BD-4B97-B0AF-0BCBC45117CD}"/>
    <cellStyle name="Note" xfId="2" builtinId="10"/>
    <cellStyle name="Output" xfId="1" builtinId="21"/>
    <cellStyle name="Percent" xfId="12" builtinId="5"/>
    <cellStyle name="Percent 3" xfId="18" xr:uid="{2AD4409F-5B59-4396-ABD0-99C9C50D74AB}"/>
    <cellStyle name="Total" xfId="6" builtinId="25"/>
    <cellStyle name="Totals item" xfId="14" xr:uid="{3B0EEBA5-919D-4450-9913-B5476FE3A0CC}"/>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A8CDC"/>
      <color rgb="FFD9E1F2"/>
      <color rgb="FF6F2B8D"/>
      <color rgb="FF009A91"/>
      <color rgb="FFFAA719"/>
      <color rgb="FFF2F2F2"/>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1.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945602</xdr:colOff>
      <xdr:row>1</xdr:row>
      <xdr:rowOff>684629</xdr:rowOff>
    </xdr:to>
    <xdr:pic>
      <xdr:nvPicPr>
        <xdr:cNvPr id="2" name="Picture 1" descr="Government of South Australia logo - Home">
          <a:extLst>
            <a:ext uri="{FF2B5EF4-FFF2-40B4-BE49-F238E27FC236}">
              <a16:creationId xmlns:a16="http://schemas.microsoft.com/office/drawing/2014/main" id="{5079A335-8946-466B-8171-067950690E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161925"/>
          <a:ext cx="2548977" cy="684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303282</xdr:colOff>
      <xdr:row>13</xdr:row>
      <xdr:rowOff>29143</xdr:rowOff>
    </xdr:from>
    <xdr:to>
      <xdr:col>13</xdr:col>
      <xdr:colOff>120876</xdr:colOff>
      <xdr:row>32</xdr:row>
      <xdr:rowOff>145339</xdr:rowOff>
    </xdr:to>
    <xdr:pic>
      <xdr:nvPicPr>
        <xdr:cNvPr id="5" name="Picture 4">
          <a:extLst>
            <a:ext uri="{FF2B5EF4-FFF2-40B4-BE49-F238E27FC236}">
              <a16:creationId xmlns:a16="http://schemas.microsoft.com/office/drawing/2014/main" id="{A3CDE710-B0C3-C670-41C7-77913C069A42}"/>
            </a:ext>
          </a:extLst>
        </xdr:cNvPr>
        <xdr:cNvPicPr>
          <a:picLocks noChangeAspect="1"/>
        </xdr:cNvPicPr>
      </xdr:nvPicPr>
      <xdr:blipFill>
        <a:blip xmlns:r="http://schemas.openxmlformats.org/officeDocument/2006/relationships" r:embed="rId1"/>
        <a:stretch>
          <a:fillRect/>
        </a:stretch>
      </xdr:blipFill>
      <xdr:spPr>
        <a:xfrm>
          <a:off x="303282" y="2275337"/>
          <a:ext cx="7614494" cy="3174290"/>
        </a:xfrm>
        <a:prstGeom prst="rect">
          <a:avLst/>
        </a:prstGeom>
      </xdr:spPr>
    </xdr:pic>
    <xdr:clientData/>
  </xdr:twoCellAnchor>
  <xdr:twoCellAnchor editAs="oneCell">
    <xdr:from>
      <xdr:col>0</xdr:col>
      <xdr:colOff>302559</xdr:colOff>
      <xdr:row>54</xdr:row>
      <xdr:rowOff>107203</xdr:rowOff>
    </xdr:from>
    <xdr:to>
      <xdr:col>27</xdr:col>
      <xdr:colOff>599585</xdr:colOff>
      <xdr:row>55</xdr:row>
      <xdr:rowOff>1355157</xdr:rowOff>
    </xdr:to>
    <xdr:pic>
      <xdr:nvPicPr>
        <xdr:cNvPr id="49" name="Picture 48">
          <a:extLst>
            <a:ext uri="{FF2B5EF4-FFF2-40B4-BE49-F238E27FC236}">
              <a16:creationId xmlns:a16="http://schemas.microsoft.com/office/drawing/2014/main" id="{D2941932-4959-8305-953B-7F0BCB7F722B}"/>
            </a:ext>
          </a:extLst>
        </xdr:cNvPr>
        <xdr:cNvPicPr>
          <a:picLocks noChangeAspect="1"/>
        </xdr:cNvPicPr>
      </xdr:nvPicPr>
      <xdr:blipFill>
        <a:blip xmlns:r="http://schemas.openxmlformats.org/officeDocument/2006/relationships" r:embed="rId2"/>
        <a:stretch>
          <a:fillRect/>
        </a:stretch>
      </xdr:blipFill>
      <xdr:spPr>
        <a:xfrm>
          <a:off x="302559" y="16347328"/>
          <a:ext cx="16660976" cy="2600504"/>
        </a:xfrm>
        <a:prstGeom prst="rect">
          <a:avLst/>
        </a:prstGeom>
      </xdr:spPr>
    </xdr:pic>
    <xdr:clientData/>
  </xdr:twoCellAnchor>
  <xdr:twoCellAnchor>
    <xdr:from>
      <xdr:col>14</xdr:col>
      <xdr:colOff>467844</xdr:colOff>
      <xdr:row>14</xdr:row>
      <xdr:rowOff>102906</xdr:rowOff>
    </xdr:from>
    <xdr:to>
      <xdr:col>20</xdr:col>
      <xdr:colOff>234949</xdr:colOff>
      <xdr:row>30</xdr:row>
      <xdr:rowOff>36230</xdr:rowOff>
    </xdr:to>
    <xdr:sp macro="" textlink="">
      <xdr:nvSpPr>
        <xdr:cNvPr id="4" name="Callout: Line 3">
          <a:extLst>
            <a:ext uri="{FF2B5EF4-FFF2-40B4-BE49-F238E27FC236}">
              <a16:creationId xmlns:a16="http://schemas.microsoft.com/office/drawing/2014/main" id="{282FDFFA-4EF8-4FD2-BD59-B7D67007CE14}"/>
            </a:ext>
          </a:extLst>
        </xdr:cNvPr>
        <xdr:cNvSpPr/>
      </xdr:nvSpPr>
      <xdr:spPr>
        <a:xfrm>
          <a:off x="8906994" y="2490506"/>
          <a:ext cx="3424705" cy="2473324"/>
        </a:xfrm>
        <a:prstGeom prst="borderCallout1">
          <a:avLst>
            <a:gd name="adj1" fmla="val 56503"/>
            <a:gd name="adj2" fmla="val -3070"/>
            <a:gd name="adj3" fmla="val 59367"/>
            <a:gd name="adj4" fmla="val -31894"/>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This graphic</a:t>
          </a:r>
          <a:r>
            <a:rPr lang="en-AU" sz="1000" baseline="0">
              <a:solidFill>
                <a:schemeClr val="bg1"/>
              </a:solidFill>
              <a:latin typeface="Poppins regular"/>
            </a:rPr>
            <a:t> shows the general architecture of the calculator. The calculation method is a "bottom-up first principles" approach whereby easy to understand basic quantities (such as hourly rate for an excavator) are combined with productivity and other assumptions to build activity rates (e.g. remove processing plants). The activity rates are combined with user input quantities to estimate the cost for an activity and the activity costs are summed for each project.</a:t>
          </a:r>
          <a:endParaRPr lang="en-AU" sz="1000">
            <a:solidFill>
              <a:schemeClr val="bg1"/>
            </a:solidFill>
            <a:latin typeface="Poppins regular"/>
          </a:endParaRPr>
        </a:p>
      </xdr:txBody>
    </xdr:sp>
    <xdr:clientData/>
  </xdr:twoCellAnchor>
  <xdr:twoCellAnchor editAs="oneCell">
    <xdr:from>
      <xdr:col>1</xdr:col>
      <xdr:colOff>38100</xdr:colOff>
      <xdr:row>1</xdr:row>
      <xdr:rowOff>9525</xdr:rowOff>
    </xdr:from>
    <xdr:to>
      <xdr:col>5</xdr:col>
      <xdr:colOff>85177</xdr:colOff>
      <xdr:row>5</xdr:row>
      <xdr:rowOff>46454</xdr:rowOff>
    </xdr:to>
    <xdr:pic>
      <xdr:nvPicPr>
        <xdr:cNvPr id="2" name="Picture 1" descr="Government of South Australia logo - Home">
          <a:extLst>
            <a:ext uri="{FF2B5EF4-FFF2-40B4-BE49-F238E27FC236}">
              <a16:creationId xmlns:a16="http://schemas.microsoft.com/office/drawing/2014/main" id="{2ED8BFEE-C6B9-461E-9B63-2ED80CAE94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1950" y="171450"/>
          <a:ext cx="2548977" cy="684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283321</xdr:colOff>
      <xdr:row>43</xdr:row>
      <xdr:rowOff>141546</xdr:rowOff>
    </xdr:from>
    <xdr:to>
      <xdr:col>22</xdr:col>
      <xdr:colOff>563286</xdr:colOff>
      <xdr:row>46</xdr:row>
      <xdr:rowOff>1981199</xdr:rowOff>
    </xdr:to>
    <xdr:pic>
      <xdr:nvPicPr>
        <xdr:cNvPr id="26" name="Picture 25">
          <a:extLst>
            <a:ext uri="{FF2B5EF4-FFF2-40B4-BE49-F238E27FC236}">
              <a16:creationId xmlns:a16="http://schemas.microsoft.com/office/drawing/2014/main" id="{F812E773-A68B-B407-CC8E-79B28EDA2434}"/>
            </a:ext>
          </a:extLst>
        </xdr:cNvPr>
        <xdr:cNvPicPr>
          <a:picLocks noChangeAspect="1"/>
        </xdr:cNvPicPr>
      </xdr:nvPicPr>
      <xdr:blipFill>
        <a:blip xmlns:r="http://schemas.openxmlformats.org/officeDocument/2006/relationships" r:embed="rId4"/>
        <a:stretch>
          <a:fillRect/>
        </a:stretch>
      </xdr:blipFill>
      <xdr:spPr>
        <a:xfrm>
          <a:off x="283321" y="7313871"/>
          <a:ext cx="13595915" cy="2439728"/>
        </a:xfrm>
        <a:prstGeom prst="rect">
          <a:avLst/>
        </a:prstGeom>
      </xdr:spPr>
    </xdr:pic>
    <xdr:clientData/>
  </xdr:twoCellAnchor>
  <xdr:twoCellAnchor editAs="oneCell">
    <xdr:from>
      <xdr:col>0</xdr:col>
      <xdr:colOff>201705</xdr:colOff>
      <xdr:row>48</xdr:row>
      <xdr:rowOff>134471</xdr:rowOff>
    </xdr:from>
    <xdr:to>
      <xdr:col>18</xdr:col>
      <xdr:colOff>381000</xdr:colOff>
      <xdr:row>48</xdr:row>
      <xdr:rowOff>2292489</xdr:rowOff>
    </xdr:to>
    <xdr:pic>
      <xdr:nvPicPr>
        <xdr:cNvPr id="31" name="Picture 30">
          <a:extLst>
            <a:ext uri="{FF2B5EF4-FFF2-40B4-BE49-F238E27FC236}">
              <a16:creationId xmlns:a16="http://schemas.microsoft.com/office/drawing/2014/main" id="{0110B1A5-2C7A-1982-3D1C-B982D877EA48}"/>
            </a:ext>
          </a:extLst>
        </xdr:cNvPr>
        <xdr:cNvPicPr>
          <a:picLocks noChangeAspect="1"/>
        </xdr:cNvPicPr>
      </xdr:nvPicPr>
      <xdr:blipFill rotWithShape="1">
        <a:blip xmlns:r="http://schemas.openxmlformats.org/officeDocument/2006/relationships" r:embed="rId5"/>
        <a:srcRect t="3035"/>
        <a:stretch>
          <a:fillRect/>
        </a:stretch>
      </xdr:blipFill>
      <xdr:spPr>
        <a:xfrm>
          <a:off x="201705" y="9737912"/>
          <a:ext cx="10992971" cy="2161193"/>
        </a:xfrm>
        <a:prstGeom prst="rect">
          <a:avLst/>
        </a:prstGeom>
      </xdr:spPr>
    </xdr:pic>
    <xdr:clientData/>
  </xdr:twoCellAnchor>
  <xdr:twoCellAnchor>
    <xdr:from>
      <xdr:col>0</xdr:col>
      <xdr:colOff>40342</xdr:colOff>
      <xdr:row>48</xdr:row>
      <xdr:rowOff>896471</xdr:rowOff>
    </xdr:from>
    <xdr:to>
      <xdr:col>7</xdr:col>
      <xdr:colOff>125133</xdr:colOff>
      <xdr:row>48</xdr:row>
      <xdr:rowOff>2476500</xdr:rowOff>
    </xdr:to>
    <xdr:sp macro="" textlink="">
      <xdr:nvSpPr>
        <xdr:cNvPr id="48" name="Oval 47">
          <a:extLst>
            <a:ext uri="{FF2B5EF4-FFF2-40B4-BE49-F238E27FC236}">
              <a16:creationId xmlns:a16="http://schemas.microsoft.com/office/drawing/2014/main" id="{DAA3B58D-3526-4191-8D3D-077F2C7BAB41}"/>
            </a:ext>
          </a:extLst>
        </xdr:cNvPr>
        <xdr:cNvSpPr/>
      </xdr:nvSpPr>
      <xdr:spPr>
        <a:xfrm>
          <a:off x="40342" y="10499912"/>
          <a:ext cx="4242173" cy="1580029"/>
        </a:xfrm>
        <a:prstGeom prst="ellipse">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editAs="oneCell">
    <xdr:from>
      <xdr:col>0</xdr:col>
      <xdr:colOff>220942</xdr:colOff>
      <xdr:row>51</xdr:row>
      <xdr:rowOff>108884</xdr:rowOff>
    </xdr:from>
    <xdr:to>
      <xdr:col>26</xdr:col>
      <xdr:colOff>487788</xdr:colOff>
      <xdr:row>51</xdr:row>
      <xdr:rowOff>1779333</xdr:rowOff>
    </xdr:to>
    <xdr:pic>
      <xdr:nvPicPr>
        <xdr:cNvPr id="34" name="Picture 33">
          <a:extLst>
            <a:ext uri="{FF2B5EF4-FFF2-40B4-BE49-F238E27FC236}">
              <a16:creationId xmlns:a16="http://schemas.microsoft.com/office/drawing/2014/main" id="{DCD0B61F-FCB2-0B32-0796-193F5BA95DF5}"/>
            </a:ext>
          </a:extLst>
        </xdr:cNvPr>
        <xdr:cNvPicPr>
          <a:picLocks noChangeAspect="1"/>
        </xdr:cNvPicPr>
      </xdr:nvPicPr>
      <xdr:blipFill>
        <a:blip xmlns:r="http://schemas.openxmlformats.org/officeDocument/2006/relationships" r:embed="rId6"/>
        <a:stretch>
          <a:fillRect/>
        </a:stretch>
      </xdr:blipFill>
      <xdr:spPr>
        <a:xfrm>
          <a:off x="220942" y="12513796"/>
          <a:ext cx="15921464" cy="1676799"/>
        </a:xfrm>
        <a:prstGeom prst="rect">
          <a:avLst/>
        </a:prstGeom>
      </xdr:spPr>
    </xdr:pic>
    <xdr:clientData/>
  </xdr:twoCellAnchor>
  <xdr:twoCellAnchor>
    <xdr:from>
      <xdr:col>21</xdr:col>
      <xdr:colOff>270623</xdr:colOff>
      <xdr:row>55</xdr:row>
      <xdr:rowOff>107203</xdr:rowOff>
    </xdr:from>
    <xdr:to>
      <xdr:col>28</xdr:col>
      <xdr:colOff>89647</xdr:colOff>
      <xdr:row>55</xdr:row>
      <xdr:rowOff>557119</xdr:rowOff>
    </xdr:to>
    <xdr:sp macro="" textlink="">
      <xdr:nvSpPr>
        <xdr:cNvPr id="39" name="Oval 38">
          <a:extLst>
            <a:ext uri="{FF2B5EF4-FFF2-40B4-BE49-F238E27FC236}">
              <a16:creationId xmlns:a16="http://schemas.microsoft.com/office/drawing/2014/main" id="{22D05A61-7496-4BB2-BD51-27E64EC8381F}"/>
            </a:ext>
          </a:extLst>
        </xdr:cNvPr>
        <xdr:cNvSpPr/>
      </xdr:nvSpPr>
      <xdr:spPr>
        <a:xfrm>
          <a:off x="12899652" y="16086791"/>
          <a:ext cx="4054848" cy="449916"/>
        </a:xfrm>
        <a:prstGeom prst="ellipse">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14</xdr:col>
      <xdr:colOff>131295</xdr:colOff>
      <xdr:row>54</xdr:row>
      <xdr:rowOff>810000</xdr:rowOff>
    </xdr:from>
    <xdr:to>
      <xdr:col>16</xdr:col>
      <xdr:colOff>121399</xdr:colOff>
      <xdr:row>55</xdr:row>
      <xdr:rowOff>1341532</xdr:rowOff>
    </xdr:to>
    <xdr:sp macro="" textlink="">
      <xdr:nvSpPr>
        <xdr:cNvPr id="52" name="Oval 51">
          <a:extLst>
            <a:ext uri="{FF2B5EF4-FFF2-40B4-BE49-F238E27FC236}">
              <a16:creationId xmlns:a16="http://schemas.microsoft.com/office/drawing/2014/main" id="{D00AC71B-7559-45B3-98A7-BED0A1F69AD1}"/>
            </a:ext>
          </a:extLst>
        </xdr:cNvPr>
        <xdr:cNvSpPr/>
      </xdr:nvSpPr>
      <xdr:spPr>
        <a:xfrm>
          <a:off x="8570445" y="17050125"/>
          <a:ext cx="1209304" cy="1884082"/>
        </a:xfrm>
        <a:prstGeom prst="ellipse">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5</xdr:col>
      <xdr:colOff>412750</xdr:colOff>
      <xdr:row>46</xdr:row>
      <xdr:rowOff>2077195</xdr:rowOff>
    </xdr:from>
    <xdr:to>
      <xdr:col>9</xdr:col>
      <xdr:colOff>111126</xdr:colOff>
      <xdr:row>46</xdr:row>
      <xdr:rowOff>3048000</xdr:rowOff>
    </xdr:to>
    <xdr:sp macro="" textlink="">
      <xdr:nvSpPr>
        <xdr:cNvPr id="37" name="Callout: Line 36">
          <a:extLst>
            <a:ext uri="{FF2B5EF4-FFF2-40B4-BE49-F238E27FC236}">
              <a16:creationId xmlns:a16="http://schemas.microsoft.com/office/drawing/2014/main" id="{D0A73E72-79E4-425D-8609-30010C33EB27}"/>
            </a:ext>
          </a:extLst>
        </xdr:cNvPr>
        <xdr:cNvSpPr/>
      </xdr:nvSpPr>
      <xdr:spPr>
        <a:xfrm>
          <a:off x="3365500" y="9709895"/>
          <a:ext cx="2136776" cy="970805"/>
        </a:xfrm>
        <a:prstGeom prst="borderCallout1">
          <a:avLst>
            <a:gd name="adj1" fmla="val -8939"/>
            <a:gd name="adj2" fmla="val 70407"/>
            <a:gd name="adj3" fmla="val -101091"/>
            <a:gd name="adj4" fmla="val 91610"/>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Quantity totals</a:t>
          </a:r>
          <a:r>
            <a:rPr lang="en-AU" sz="1000" baseline="0">
              <a:solidFill>
                <a:schemeClr val="bg1"/>
              </a:solidFill>
              <a:latin typeface="Poppins regular"/>
            </a:rPr>
            <a:t> for each element. The units are shown adjacent to the right.</a:t>
          </a:r>
          <a:endParaRPr lang="en-AU" sz="1000">
            <a:solidFill>
              <a:schemeClr val="bg1"/>
            </a:solidFill>
            <a:latin typeface="Poppins regular"/>
          </a:endParaRPr>
        </a:p>
      </xdr:txBody>
    </xdr:sp>
    <xdr:clientData/>
  </xdr:twoCellAnchor>
  <xdr:twoCellAnchor>
    <xdr:from>
      <xdr:col>9</xdr:col>
      <xdr:colOff>189192</xdr:colOff>
      <xdr:row>46</xdr:row>
      <xdr:rowOff>2075518</xdr:rowOff>
    </xdr:from>
    <xdr:to>
      <xdr:col>11</xdr:col>
      <xdr:colOff>553196</xdr:colOff>
      <xdr:row>46</xdr:row>
      <xdr:rowOff>3035300</xdr:rowOff>
    </xdr:to>
    <xdr:sp macro="" textlink="">
      <xdr:nvSpPr>
        <xdr:cNvPr id="23" name="Callout: Line 22">
          <a:extLst>
            <a:ext uri="{FF2B5EF4-FFF2-40B4-BE49-F238E27FC236}">
              <a16:creationId xmlns:a16="http://schemas.microsoft.com/office/drawing/2014/main" id="{E1709245-6A3D-4CF9-A58F-14BFF5970A1A}"/>
            </a:ext>
          </a:extLst>
        </xdr:cNvPr>
        <xdr:cNvSpPr/>
      </xdr:nvSpPr>
      <xdr:spPr>
        <a:xfrm>
          <a:off x="5580342" y="9708218"/>
          <a:ext cx="1583204" cy="959782"/>
        </a:xfrm>
        <a:prstGeom prst="borderCallout1">
          <a:avLst>
            <a:gd name="adj1" fmla="val -11363"/>
            <a:gd name="adj2" fmla="val 68316"/>
            <a:gd name="adj3" fmla="val -99216"/>
            <a:gd name="adj4" fmla="val 68980"/>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Default (orange) and</a:t>
          </a:r>
          <a:r>
            <a:rPr lang="en-AU" sz="1000" baseline="0">
              <a:solidFill>
                <a:schemeClr val="bg1"/>
              </a:solidFill>
              <a:latin typeface="Poppins regular"/>
            </a:rPr>
            <a:t> user (green) rates - user rates override default rates.</a:t>
          </a:r>
          <a:endParaRPr lang="en-AU" sz="1000">
            <a:solidFill>
              <a:schemeClr val="bg1"/>
            </a:solidFill>
            <a:latin typeface="Poppins regular"/>
          </a:endParaRPr>
        </a:p>
      </xdr:txBody>
    </xdr:sp>
    <xdr:clientData/>
  </xdr:twoCellAnchor>
  <xdr:twoCellAnchor>
    <xdr:from>
      <xdr:col>12</xdr:col>
      <xdr:colOff>67424</xdr:colOff>
      <xdr:row>46</xdr:row>
      <xdr:rowOff>2088215</xdr:rowOff>
    </xdr:from>
    <xdr:to>
      <xdr:col>14</xdr:col>
      <xdr:colOff>83299</xdr:colOff>
      <xdr:row>46</xdr:row>
      <xdr:rowOff>3016250</xdr:rowOff>
    </xdr:to>
    <xdr:sp macro="" textlink="">
      <xdr:nvSpPr>
        <xdr:cNvPr id="30" name="Callout: Line 29">
          <a:extLst>
            <a:ext uri="{FF2B5EF4-FFF2-40B4-BE49-F238E27FC236}">
              <a16:creationId xmlns:a16="http://schemas.microsoft.com/office/drawing/2014/main" id="{6ED6804E-3C54-4AFE-9D48-06EE9978D55F}"/>
            </a:ext>
          </a:extLst>
        </xdr:cNvPr>
        <xdr:cNvSpPr/>
      </xdr:nvSpPr>
      <xdr:spPr>
        <a:xfrm>
          <a:off x="7287374" y="9720915"/>
          <a:ext cx="1235075" cy="928035"/>
        </a:xfrm>
        <a:prstGeom prst="borderCallout1">
          <a:avLst>
            <a:gd name="adj1" fmla="val -6650"/>
            <a:gd name="adj2" fmla="val 42825"/>
            <a:gd name="adj3" fmla="val -113529"/>
            <a:gd name="adj4" fmla="val 29105"/>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Cells</a:t>
          </a:r>
          <a:r>
            <a:rPr lang="en-AU" sz="1000" baseline="0">
              <a:solidFill>
                <a:schemeClr val="bg1"/>
              </a:solidFill>
              <a:latin typeface="Poppins regular"/>
            </a:rPr>
            <a:t> for User to enter project specific rate.</a:t>
          </a:r>
          <a:endParaRPr lang="en-AU" sz="1000">
            <a:solidFill>
              <a:schemeClr val="bg1"/>
            </a:solidFill>
            <a:latin typeface="Poppins regular"/>
          </a:endParaRPr>
        </a:p>
      </xdr:txBody>
    </xdr:sp>
    <xdr:clientData/>
  </xdr:twoCellAnchor>
  <xdr:twoCellAnchor>
    <xdr:from>
      <xdr:col>14</xdr:col>
      <xdr:colOff>202826</xdr:colOff>
      <xdr:row>46</xdr:row>
      <xdr:rowOff>2075516</xdr:rowOff>
    </xdr:from>
    <xdr:to>
      <xdr:col>16</xdr:col>
      <xdr:colOff>145676</xdr:colOff>
      <xdr:row>46</xdr:row>
      <xdr:rowOff>3041650</xdr:rowOff>
    </xdr:to>
    <xdr:sp macro="" textlink="">
      <xdr:nvSpPr>
        <xdr:cNvPr id="40" name="Callout: Line 39">
          <a:extLst>
            <a:ext uri="{FF2B5EF4-FFF2-40B4-BE49-F238E27FC236}">
              <a16:creationId xmlns:a16="http://schemas.microsoft.com/office/drawing/2014/main" id="{2EB6A005-E813-4A65-B3D1-B3F6EFD44DB7}"/>
            </a:ext>
          </a:extLst>
        </xdr:cNvPr>
        <xdr:cNvSpPr/>
      </xdr:nvSpPr>
      <xdr:spPr>
        <a:xfrm>
          <a:off x="8641976" y="9708216"/>
          <a:ext cx="1162050" cy="966134"/>
        </a:xfrm>
        <a:prstGeom prst="borderCallout1">
          <a:avLst>
            <a:gd name="adj1" fmla="val -4848"/>
            <a:gd name="adj2" fmla="val 39804"/>
            <a:gd name="adj3" fmla="val -109702"/>
            <a:gd name="adj4" fmla="val -7146"/>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Cost </a:t>
          </a:r>
          <a:r>
            <a:rPr lang="en-AU" sz="1000" baseline="0">
              <a:solidFill>
                <a:schemeClr val="bg1"/>
              </a:solidFill>
              <a:latin typeface="Poppins regular"/>
            </a:rPr>
            <a:t>per unit</a:t>
          </a:r>
          <a:endParaRPr lang="en-AU" sz="1000">
            <a:solidFill>
              <a:schemeClr val="bg1"/>
            </a:solidFill>
            <a:latin typeface="Poppins regular"/>
          </a:endParaRPr>
        </a:p>
      </xdr:txBody>
    </xdr:sp>
    <xdr:clientData/>
  </xdr:twoCellAnchor>
  <xdr:twoCellAnchor>
    <xdr:from>
      <xdr:col>18</xdr:col>
      <xdr:colOff>273798</xdr:colOff>
      <xdr:row>46</xdr:row>
      <xdr:rowOff>2092698</xdr:rowOff>
    </xdr:from>
    <xdr:to>
      <xdr:col>22</xdr:col>
      <xdr:colOff>520700</xdr:colOff>
      <xdr:row>46</xdr:row>
      <xdr:rowOff>3060700</xdr:rowOff>
    </xdr:to>
    <xdr:sp macro="" textlink="">
      <xdr:nvSpPr>
        <xdr:cNvPr id="11" name="Callout: Line 10">
          <a:extLst>
            <a:ext uri="{FF2B5EF4-FFF2-40B4-BE49-F238E27FC236}">
              <a16:creationId xmlns:a16="http://schemas.microsoft.com/office/drawing/2014/main" id="{59945BF9-E14F-4221-A69E-F7909E659EC5}"/>
            </a:ext>
          </a:extLst>
        </xdr:cNvPr>
        <xdr:cNvSpPr/>
      </xdr:nvSpPr>
      <xdr:spPr>
        <a:xfrm>
          <a:off x="11151348" y="9725398"/>
          <a:ext cx="2685302" cy="968002"/>
        </a:xfrm>
        <a:prstGeom prst="borderCallout1">
          <a:avLst>
            <a:gd name="adj1" fmla="val -13190"/>
            <a:gd name="adj2" fmla="val 30339"/>
            <a:gd name="adj3" fmla="val -116109"/>
            <a:gd name="adj4" fmla="val 9322"/>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Space</a:t>
          </a:r>
          <a:r>
            <a:rPr lang="en-AU" sz="1000" baseline="0">
              <a:solidFill>
                <a:schemeClr val="bg1"/>
              </a:solidFill>
              <a:latin typeface="Poppins regular"/>
            </a:rPr>
            <a:t> for users to enter explanatory notes to aid understanding / state assumptions / explain any changes from last estimate. </a:t>
          </a:r>
          <a:endParaRPr lang="en-AU" sz="1000">
            <a:solidFill>
              <a:schemeClr val="bg1"/>
            </a:solidFill>
            <a:latin typeface="Poppins regular"/>
          </a:endParaRPr>
        </a:p>
      </xdr:txBody>
    </xdr:sp>
    <xdr:clientData/>
  </xdr:twoCellAnchor>
  <xdr:twoCellAnchor>
    <xdr:from>
      <xdr:col>16</xdr:col>
      <xdr:colOff>227666</xdr:colOff>
      <xdr:row>46</xdr:row>
      <xdr:rowOff>2088403</xdr:rowOff>
    </xdr:from>
    <xdr:to>
      <xdr:col>18</xdr:col>
      <xdr:colOff>154455</xdr:colOff>
      <xdr:row>46</xdr:row>
      <xdr:rowOff>3048000</xdr:rowOff>
    </xdr:to>
    <xdr:sp macro="" textlink="">
      <xdr:nvSpPr>
        <xdr:cNvPr id="21" name="Callout: Line 20">
          <a:extLst>
            <a:ext uri="{FF2B5EF4-FFF2-40B4-BE49-F238E27FC236}">
              <a16:creationId xmlns:a16="http://schemas.microsoft.com/office/drawing/2014/main" id="{884B40F5-64ED-4DD7-8261-D31142812537}"/>
            </a:ext>
          </a:extLst>
        </xdr:cNvPr>
        <xdr:cNvSpPr/>
      </xdr:nvSpPr>
      <xdr:spPr>
        <a:xfrm>
          <a:off x="9886016" y="9721103"/>
          <a:ext cx="1145989" cy="959597"/>
        </a:xfrm>
        <a:prstGeom prst="borderCallout1">
          <a:avLst>
            <a:gd name="adj1" fmla="val -3115"/>
            <a:gd name="adj2" fmla="val 20593"/>
            <a:gd name="adj3" fmla="val -100234"/>
            <a:gd name="adj4" fmla="val 25500"/>
          </a:avLst>
        </a:prstGeom>
        <a:solidFill>
          <a:schemeClr val="accent5">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bg1"/>
              </a:solidFill>
              <a:latin typeface="Poppins regular"/>
            </a:rPr>
            <a:t>Total</a:t>
          </a:r>
          <a:r>
            <a:rPr lang="en-AU" sz="1000" baseline="0">
              <a:solidFill>
                <a:schemeClr val="bg1"/>
              </a:solidFill>
              <a:latin typeface="Poppins regular"/>
            </a:rPr>
            <a:t> cost of element </a:t>
          </a:r>
          <a:endParaRPr lang="en-AU" sz="1000">
            <a:solidFill>
              <a:schemeClr val="bg1"/>
            </a:solidFill>
            <a:latin typeface="Poppins regular"/>
          </a:endParaRPr>
        </a:p>
      </xdr:txBody>
    </xdr:sp>
    <xdr:clientData/>
  </xdr:twoCellAnchor>
  <xdr:twoCellAnchor editAs="oneCell">
    <xdr:from>
      <xdr:col>0</xdr:col>
      <xdr:colOff>263525</xdr:colOff>
      <xdr:row>60</xdr:row>
      <xdr:rowOff>84393</xdr:rowOff>
    </xdr:from>
    <xdr:to>
      <xdr:col>7</xdr:col>
      <xdr:colOff>400050</xdr:colOff>
      <xdr:row>76</xdr:row>
      <xdr:rowOff>114922</xdr:rowOff>
    </xdr:to>
    <xdr:pic>
      <xdr:nvPicPr>
        <xdr:cNvPr id="53" name="Picture 52">
          <a:extLst>
            <a:ext uri="{FF2B5EF4-FFF2-40B4-BE49-F238E27FC236}">
              <a16:creationId xmlns:a16="http://schemas.microsoft.com/office/drawing/2014/main" id="{B8D2C4C2-909C-A930-F078-A729C4A3E1FF}"/>
            </a:ext>
          </a:extLst>
        </xdr:cNvPr>
        <xdr:cNvPicPr>
          <a:picLocks noChangeAspect="1"/>
        </xdr:cNvPicPr>
      </xdr:nvPicPr>
      <xdr:blipFill rotWithShape="1">
        <a:blip xmlns:r="http://schemas.openxmlformats.org/officeDocument/2006/relationships" r:embed="rId7"/>
        <a:srcRect r="52663"/>
        <a:stretch>
          <a:fillRect/>
        </a:stretch>
      </xdr:blipFill>
      <xdr:spPr>
        <a:xfrm>
          <a:off x="263525" y="19953543"/>
          <a:ext cx="4308475" cy="2621329"/>
        </a:xfrm>
        <a:prstGeom prst="rect">
          <a:avLst/>
        </a:prstGeom>
      </xdr:spPr>
    </xdr:pic>
    <xdr:clientData/>
  </xdr:twoCellAnchor>
  <xdr:twoCellAnchor editAs="oneCell">
    <xdr:from>
      <xdr:col>8</xdr:col>
      <xdr:colOff>200025</xdr:colOff>
      <xdr:row>60</xdr:row>
      <xdr:rowOff>85725</xdr:rowOff>
    </xdr:from>
    <xdr:to>
      <xdr:col>17</xdr:col>
      <xdr:colOff>66756</xdr:colOff>
      <xdr:row>74</xdr:row>
      <xdr:rowOff>57150</xdr:rowOff>
    </xdr:to>
    <xdr:pic>
      <xdr:nvPicPr>
        <xdr:cNvPr id="54" name="Picture 53">
          <a:extLst>
            <a:ext uri="{FF2B5EF4-FFF2-40B4-BE49-F238E27FC236}">
              <a16:creationId xmlns:a16="http://schemas.microsoft.com/office/drawing/2014/main" id="{6D544D17-18D3-A7E2-0C84-F1D748D81441}"/>
            </a:ext>
          </a:extLst>
        </xdr:cNvPr>
        <xdr:cNvPicPr>
          <a:picLocks noChangeAspect="1"/>
        </xdr:cNvPicPr>
      </xdr:nvPicPr>
      <xdr:blipFill>
        <a:blip xmlns:r="http://schemas.openxmlformats.org/officeDocument/2006/relationships" r:embed="rId8"/>
        <a:stretch>
          <a:fillRect/>
        </a:stretch>
      </xdr:blipFill>
      <xdr:spPr>
        <a:xfrm>
          <a:off x="4981575" y="19954875"/>
          <a:ext cx="5353131" cy="2238375"/>
        </a:xfrm>
        <a:prstGeom prst="rect">
          <a:avLst/>
        </a:prstGeom>
      </xdr:spPr>
    </xdr:pic>
    <xdr:clientData/>
  </xdr:twoCellAnchor>
  <xdr:twoCellAnchor editAs="oneCell">
    <xdr:from>
      <xdr:col>17</xdr:col>
      <xdr:colOff>353249</xdr:colOff>
      <xdr:row>60</xdr:row>
      <xdr:rowOff>114300</xdr:rowOff>
    </xdr:from>
    <xdr:to>
      <xdr:col>27</xdr:col>
      <xdr:colOff>93173</xdr:colOff>
      <xdr:row>78</xdr:row>
      <xdr:rowOff>114849</xdr:rowOff>
    </xdr:to>
    <xdr:pic>
      <xdr:nvPicPr>
        <xdr:cNvPr id="55" name="Picture 54">
          <a:extLst>
            <a:ext uri="{FF2B5EF4-FFF2-40B4-BE49-F238E27FC236}">
              <a16:creationId xmlns:a16="http://schemas.microsoft.com/office/drawing/2014/main" id="{A82CA632-8742-761B-0284-2D32C772C3A5}"/>
            </a:ext>
          </a:extLst>
        </xdr:cNvPr>
        <xdr:cNvPicPr>
          <a:picLocks noChangeAspect="1"/>
        </xdr:cNvPicPr>
      </xdr:nvPicPr>
      <xdr:blipFill>
        <a:blip xmlns:r="http://schemas.openxmlformats.org/officeDocument/2006/relationships" r:embed="rId9"/>
        <a:stretch>
          <a:fillRect/>
        </a:stretch>
      </xdr:blipFill>
      <xdr:spPr>
        <a:xfrm>
          <a:off x="10621199" y="19983450"/>
          <a:ext cx="5835924" cy="291519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epa.sa.gov.au/business_and_industry/waste-levy" TargetMode="External"/><Relationship Id="rId2" Type="http://schemas.openxmlformats.org/officeDocument/2006/relationships/hyperlink" Target="https://www.epa.sa.gov.au/business_and_industry/waste-levy" TargetMode="External"/><Relationship Id="rId1" Type="http://schemas.openxmlformats.org/officeDocument/2006/relationships/hyperlink" Target="https://srwra.com.au/media-downloads/gate-fees/Gate%20Fees%202025%20-%202026.pdf" TargetMode="External"/><Relationship Id="rId4" Type="http://schemas.openxmlformats.org/officeDocument/2006/relationships/hyperlink" Target="https://www.epa.sa.gov.au/business_and_industry/waste-lev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392F-9758-477C-BA78-9DF1CBF71F81}">
  <sheetPr codeName="Sheet2">
    <tabColor rgb="FFD9E1F2"/>
  </sheetPr>
  <dimension ref="B2:E44"/>
  <sheetViews>
    <sheetView showGridLines="0" tabSelected="1" workbookViewId="0">
      <pane ySplit="5" topLeftCell="A6" activePane="bottomLeft" state="frozen"/>
      <selection pane="bottomLeft"/>
    </sheetView>
  </sheetViews>
  <sheetFormatPr defaultColWidth="8.7265625" defaultRowHeight="12.5"/>
  <cols>
    <col min="1" max="1" width="5.453125" style="3" customWidth="1"/>
    <col min="2" max="2" width="10.81640625" style="3" customWidth="1"/>
    <col min="3" max="3" width="13.7265625" style="3" customWidth="1"/>
    <col min="4" max="4" width="98.7265625" style="3" customWidth="1"/>
    <col min="5" max="16384" width="8.7265625" style="3"/>
  </cols>
  <sheetData>
    <row r="2" spans="2:5" ht="69.75" customHeight="1"/>
    <row r="3" spans="2:5" ht="13.5" customHeight="1">
      <c r="B3" s="4" t="s">
        <v>0</v>
      </c>
      <c r="C3" s="5"/>
      <c r="D3" s="5"/>
    </row>
    <row r="4" spans="2:5" ht="3" customHeight="1">
      <c r="B4" s="6"/>
      <c r="C4" s="6"/>
      <c r="D4" s="6"/>
    </row>
    <row r="5" spans="2:5" ht="5.15" customHeight="1">
      <c r="B5" s="7"/>
      <c r="C5" s="7"/>
      <c r="D5" s="7"/>
    </row>
    <row r="6" spans="2:5">
      <c r="B6" s="8"/>
    </row>
    <row r="7" spans="2:5" ht="13">
      <c r="B7" s="9" t="s">
        <v>1</v>
      </c>
      <c r="C7" s="10"/>
      <c r="D7" s="11" t="s">
        <v>2</v>
      </c>
    </row>
    <row r="8" spans="2:5">
      <c r="B8" s="8"/>
      <c r="C8" s="12"/>
    </row>
    <row r="9" spans="2:5" ht="13">
      <c r="B9" s="9" t="s">
        <v>3</v>
      </c>
      <c r="C9" s="10"/>
      <c r="D9" s="22"/>
    </row>
    <row r="10" spans="2:5">
      <c r="B10" s="8"/>
    </row>
    <row r="11" spans="2:5" ht="13">
      <c r="B11" s="9" t="s">
        <v>4</v>
      </c>
      <c r="C11" s="10"/>
      <c r="D11" s="22" t="s">
        <v>679</v>
      </c>
    </row>
    <row r="12" spans="2:5" ht="13">
      <c r="B12" s="9"/>
      <c r="C12" s="10"/>
      <c r="D12" s="10"/>
      <c r="E12" s="10"/>
    </row>
    <row r="13" spans="2:5" ht="13">
      <c r="B13" s="9" t="s">
        <v>5</v>
      </c>
      <c r="D13" s="22"/>
    </row>
    <row r="14" spans="2:5">
      <c r="D14" s="22"/>
    </row>
    <row r="15" spans="2:5">
      <c r="D15" s="22"/>
    </row>
    <row r="16" spans="2:5">
      <c r="D16" s="22"/>
    </row>
    <row r="17" spans="2:4">
      <c r="D17" s="22"/>
    </row>
    <row r="19" spans="2:4" ht="13">
      <c r="B19" s="13" t="s">
        <v>690</v>
      </c>
      <c r="D19" s="14">
        <f>Input!I130</f>
        <v>0</v>
      </c>
    </row>
    <row r="21" spans="2:4" ht="13">
      <c r="B21" s="9" t="s">
        <v>6</v>
      </c>
      <c r="C21" s="10"/>
      <c r="D21" s="23"/>
    </row>
    <row r="22" spans="2:4">
      <c r="B22" s="8"/>
      <c r="C22" s="12"/>
      <c r="D22" s="23"/>
    </row>
    <row r="23" spans="2:4">
      <c r="B23" s="8"/>
      <c r="C23" s="12"/>
      <c r="D23" s="23"/>
    </row>
    <row r="24" spans="2:4">
      <c r="B24" s="8"/>
      <c r="C24" s="12"/>
      <c r="D24" s="23"/>
    </row>
    <row r="25" spans="2:4">
      <c r="B25" s="8"/>
      <c r="C25" s="12"/>
      <c r="D25" s="23"/>
    </row>
    <row r="26" spans="2:4">
      <c r="B26" s="8"/>
      <c r="C26" s="12"/>
      <c r="D26" s="23"/>
    </row>
    <row r="27" spans="2:4">
      <c r="B27" s="8"/>
      <c r="C27" s="12"/>
    </row>
    <row r="28" spans="2:4" ht="110.25" customHeight="1">
      <c r="B28" s="15" t="s">
        <v>7</v>
      </c>
      <c r="C28" s="16"/>
      <c r="D28" s="17" t="s">
        <v>8</v>
      </c>
    </row>
    <row r="29" spans="2:4" ht="13">
      <c r="B29" s="13"/>
      <c r="C29" s="13"/>
      <c r="D29" s="13"/>
    </row>
    <row r="30" spans="2:4" ht="358" customHeight="1">
      <c r="B30" s="15" t="s">
        <v>9</v>
      </c>
      <c r="C30" s="16"/>
      <c r="D30" s="18" t="s">
        <v>834</v>
      </c>
    </row>
    <row r="31" spans="2:4" ht="13">
      <c r="B31" s="13"/>
      <c r="C31" s="13"/>
      <c r="D31" s="13"/>
    </row>
    <row r="32" spans="2:4" ht="13">
      <c r="B32" s="9" t="s">
        <v>10</v>
      </c>
      <c r="C32" s="19" t="s">
        <v>11</v>
      </c>
      <c r="D32" s="20" t="s">
        <v>12</v>
      </c>
    </row>
    <row r="33" spans="2:4" ht="13">
      <c r="B33" s="13"/>
      <c r="C33" s="19" t="s">
        <v>13</v>
      </c>
      <c r="D33" s="20" t="s">
        <v>835</v>
      </c>
    </row>
    <row r="34" spans="2:4" ht="13">
      <c r="B34" s="13"/>
      <c r="C34" s="19" t="s">
        <v>14</v>
      </c>
      <c r="D34" s="20" t="s">
        <v>15</v>
      </c>
    </row>
    <row r="35" spans="2:4" ht="13">
      <c r="B35" s="13"/>
      <c r="C35" s="19" t="s">
        <v>16</v>
      </c>
      <c r="D35" s="20" t="s">
        <v>17</v>
      </c>
    </row>
    <row r="36" spans="2:4" ht="13">
      <c r="B36" s="13"/>
      <c r="C36" s="19" t="s">
        <v>18</v>
      </c>
      <c r="D36" s="20" t="s">
        <v>19</v>
      </c>
    </row>
    <row r="37" spans="2:4" ht="13">
      <c r="B37" s="13"/>
      <c r="C37" s="19" t="s">
        <v>20</v>
      </c>
      <c r="D37" s="20" t="s">
        <v>21</v>
      </c>
    </row>
    <row r="39" spans="2:4" ht="13">
      <c r="B39" s="10" t="s">
        <v>22</v>
      </c>
      <c r="C39" s="21">
        <v>46212</v>
      </c>
      <c r="D39" s="20" t="s">
        <v>23</v>
      </c>
    </row>
    <row r="40" spans="2:4" ht="13">
      <c r="B40" s="13"/>
      <c r="C40" s="21">
        <v>46264</v>
      </c>
      <c r="D40" s="20" t="s">
        <v>829</v>
      </c>
    </row>
    <row r="41" spans="2:4" ht="13">
      <c r="B41" s="13"/>
      <c r="C41" s="21">
        <v>46265</v>
      </c>
      <c r="D41" s="20" t="s">
        <v>832</v>
      </c>
    </row>
    <row r="42" spans="2:4">
      <c r="C42" s="21">
        <v>46280</v>
      </c>
      <c r="D42" s="20" t="s">
        <v>836</v>
      </c>
    </row>
    <row r="44" spans="2:4" ht="13">
      <c r="B44" s="9"/>
    </row>
  </sheetData>
  <sheetProtection algorithmName="SHA-512" hashValue="6aUrhPhhC+E1EnNT5i48Xx0QA46W6LWGe4DpAjbaUDr8VCVLLZ6GmtwqGWQSdqFE5cXIAb0L5Jk55OUVG0+NkA==" saltValue="SqUNcanMJpd8veAhwY53dw==" spinCount="100000" sheet="1" objects="1" scenarios="1" autoFilter="0"/>
  <hyperlinks>
    <hyperlink ref="C32" location="USER_GUIDE" display="User Guide" xr:uid="{D0E94A31-D0D1-4DDB-BB04-67F4C9EB0C42}"/>
    <hyperlink ref="C34" location="Cost_Schedule" display="Cost_Schedule" xr:uid="{4FA29492-9324-493A-972A-C36C5781C8EE}"/>
    <hyperlink ref="C35" location="Rates" display="Rates" xr:uid="{E2A9B7A1-3DC1-4285-A839-BDF9C6719AD5}"/>
    <hyperlink ref="C36" location="Productivity" display="Productivity" xr:uid="{BB2C0C41-EB70-4AD3-A00E-FD2C38B00563}"/>
    <hyperlink ref="C37" location="Assumptions" display="Assumptions" xr:uid="{05546DA9-A745-4337-95FD-756D3546A1A3}"/>
    <hyperlink ref="C33" location="Input!INPUT" display="Input" xr:uid="{593ACD20-90B2-4D1E-A282-79632B5177F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812C7-E201-4C9D-B69A-55796E7D2B37}">
  <sheetPr codeName="Sheet3">
    <tabColor rgb="FFD9E1F2"/>
  </sheetPr>
  <dimension ref="B7:N84"/>
  <sheetViews>
    <sheetView zoomScaleNormal="100" workbookViewId="0"/>
  </sheetViews>
  <sheetFormatPr defaultColWidth="8.7265625" defaultRowHeight="12.5"/>
  <cols>
    <col min="1" max="1" width="4.81640625" style="25" customWidth="1"/>
    <col min="2" max="2" width="8.7265625" style="25"/>
    <col min="3" max="3" width="11.26953125" style="25" customWidth="1"/>
    <col min="4" max="16" width="8.7265625" style="25"/>
    <col min="17" max="17" width="8.7265625" style="25" customWidth="1"/>
    <col min="18" max="16384" width="8.7265625" style="25"/>
  </cols>
  <sheetData>
    <row r="7" spans="2:3" s="25" customFormat="1" ht="18" customHeight="1">
      <c r="B7" s="24" t="str">
        <f>Project_Name</f>
        <v>South Australia Oil and Gas Financial Assurance Calculator</v>
      </c>
    </row>
    <row r="8" spans="2:3" s="25" customFormat="1">
      <c r="B8" s="26" t="s">
        <v>24</v>
      </c>
      <c r="C8" s="27"/>
    </row>
    <row r="9" spans="2:3" s="25" customFormat="1" ht="13">
      <c r="B9" s="28"/>
    </row>
    <row r="10" spans="2:3" s="25" customFormat="1" ht="16.5" customHeight="1">
      <c r="B10" s="5" t="s">
        <v>25</v>
      </c>
      <c r="C10" s="5"/>
    </row>
    <row r="12" spans="2:3" s="25" customFormat="1" ht="15.65" customHeight="1">
      <c r="B12" s="29" t="s">
        <v>26</v>
      </c>
      <c r="C12" s="30"/>
    </row>
    <row r="36" spans="2:14" s="25" customFormat="1" ht="15.65" customHeight="1">
      <c r="B36" s="29" t="s">
        <v>27</v>
      </c>
      <c r="C36" s="30"/>
      <c r="D36" s="30"/>
      <c r="E36" s="30"/>
    </row>
    <row r="37" spans="2:14" s="25" customFormat="1" ht="13">
      <c r="B37" s="28"/>
    </row>
    <row r="38" spans="2:14" s="25" customFormat="1" ht="13">
      <c r="B38" s="31" t="s">
        <v>28</v>
      </c>
      <c r="C38" s="32" t="s">
        <v>29</v>
      </c>
      <c r="M38" s="32" t="s">
        <v>833</v>
      </c>
      <c r="N38" s="31"/>
    </row>
    <row r="39" spans="2:14" s="25" customFormat="1">
      <c r="B39" s="25">
        <v>1</v>
      </c>
      <c r="C39" s="25" t="s">
        <v>31</v>
      </c>
      <c r="M39" s="33" t="s">
        <v>30</v>
      </c>
    </row>
    <row r="40" spans="2:14" s="25" customFormat="1">
      <c r="B40" s="25">
        <f>B39+1</f>
        <v>2</v>
      </c>
      <c r="C40" s="25" t="s">
        <v>32</v>
      </c>
      <c r="M40" s="33" t="s">
        <v>30</v>
      </c>
    </row>
    <row r="41" spans="2:14" s="25" customFormat="1">
      <c r="B41" s="25">
        <f t="shared" ref="B41:B42" si="0">B40+1</f>
        <v>3</v>
      </c>
      <c r="C41" s="25" t="s">
        <v>33</v>
      </c>
      <c r="M41" s="33" t="s">
        <v>30</v>
      </c>
    </row>
    <row r="42" spans="2:14" s="25" customFormat="1">
      <c r="B42" s="25">
        <f t="shared" si="0"/>
        <v>4</v>
      </c>
      <c r="C42" s="34" t="s">
        <v>34</v>
      </c>
      <c r="M42" s="33" t="s">
        <v>13</v>
      </c>
    </row>
    <row r="43" spans="2:14" s="25" customFormat="1">
      <c r="B43" s="25">
        <v>5</v>
      </c>
      <c r="C43" s="25" t="s">
        <v>697</v>
      </c>
    </row>
    <row r="44" spans="2:14" s="25" customFormat="1" ht="15.75" customHeight="1">
      <c r="B44" s="35"/>
    </row>
    <row r="45" spans="2:14" s="25" customFormat="1" ht="14.25" customHeight="1">
      <c r="B45" s="35"/>
    </row>
    <row r="46" spans="2:14" s="25" customFormat="1" ht="17.25" customHeight="1">
      <c r="B46" s="35"/>
    </row>
    <row r="47" spans="2:14" s="25" customFormat="1" ht="259" customHeight="1">
      <c r="B47" s="35"/>
    </row>
    <row r="48" spans="2:14" s="25" customFormat="1">
      <c r="B48" s="25">
        <f>B43+1</f>
        <v>6</v>
      </c>
      <c r="C48" s="25" t="s">
        <v>691</v>
      </c>
    </row>
    <row r="49" spans="2:3" s="25" customFormat="1" ht="196" customHeight="1"/>
    <row r="51" spans="2:3" s="25" customFormat="1">
      <c r="B51" s="25">
        <f>B48+1</f>
        <v>7</v>
      </c>
      <c r="C51" s="25" t="s">
        <v>694</v>
      </c>
    </row>
    <row r="52" spans="2:3" s="25" customFormat="1" ht="150" customHeight="1"/>
    <row r="53" spans="2:3" s="25" customFormat="1">
      <c r="B53" s="25">
        <f t="shared" ref="B53" si="1">B51+1</f>
        <v>8</v>
      </c>
      <c r="C53" s="25" t="s">
        <v>713</v>
      </c>
    </row>
    <row r="54" spans="2:3" s="25" customFormat="1">
      <c r="C54" s="25" t="s">
        <v>695</v>
      </c>
    </row>
    <row r="55" spans="2:3" s="25" customFormat="1" ht="106.5" customHeight="1"/>
    <row r="56" spans="2:3" s="25" customFormat="1" ht="138" customHeight="1">
      <c r="B56" s="25">
        <f>B53+1</f>
        <v>9</v>
      </c>
      <c r="C56" s="25" t="s">
        <v>696</v>
      </c>
    </row>
    <row r="57" spans="2:3" s="25" customFormat="1">
      <c r="B57" s="25">
        <f>B56+1</f>
        <v>10</v>
      </c>
      <c r="C57" s="25" t="s">
        <v>698</v>
      </c>
    </row>
    <row r="58" spans="2:3" s="25" customFormat="1" ht="18.5" customHeight="1"/>
    <row r="59" spans="2:3" s="25" customFormat="1" ht="15.65" customHeight="1">
      <c r="B59" s="29" t="s">
        <v>35</v>
      </c>
      <c r="C59" s="36"/>
    </row>
    <row r="81" spans="2:4" s="25" customFormat="1" ht="15.65" customHeight="1">
      <c r="B81" s="29" t="s">
        <v>36</v>
      </c>
      <c r="C81" s="30"/>
      <c r="D81" s="36"/>
    </row>
    <row r="82" spans="2:4" s="25" customFormat="1" ht="15" customHeight="1">
      <c r="B82" s="25">
        <f>B57+1</f>
        <v>11</v>
      </c>
      <c r="C82" s="25" t="s">
        <v>714</v>
      </c>
    </row>
    <row r="83" spans="2:4" s="25" customFormat="1" ht="15" customHeight="1">
      <c r="C83" s="25" t="s">
        <v>37</v>
      </c>
    </row>
    <row r="84" spans="2:4" s="25" customFormat="1">
      <c r="B84" s="25">
        <f>B82+1</f>
        <v>12</v>
      </c>
      <c r="C84" s="25" t="s">
        <v>699</v>
      </c>
    </row>
  </sheetData>
  <sheetProtection algorithmName="SHA-512" hashValue="NShvn2uvUqeXgHoOiDNGVTi68jTamNCsx3XNPtFwGZxNendfOlC47ChAO+KGSkt/jvOCOqn8TCC0GFRyjst4vg==" saltValue="km/RnQFdu/BZvnmnGK1MQw==" spinCount="100000" sheet="1" objects="1" scenarios="1" autoFilter="0"/>
  <hyperlinks>
    <hyperlink ref="B8" location="Information" display="Return to Information" xr:uid="{C892011E-4511-40E4-9487-0992E9F9E11E}"/>
    <hyperlink ref="M39" location="Information" display="Information" xr:uid="{1A2525B8-D00F-41AA-9500-82B2F0C6E6C1}"/>
    <hyperlink ref="M40" location="Information" display="Information" xr:uid="{64926DAE-EFBF-4399-9FA2-4A3F23041A63}"/>
    <hyperlink ref="M41" location="Information" display="Information" xr:uid="{325490B6-67B0-4910-A6C5-DA5DC4989B5E}"/>
    <hyperlink ref="M42" location="Input!INPUT" display="Input" xr:uid="{CDDC60AE-4F2D-4DE4-B813-C4C3555070F6}"/>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A7527-195F-4002-A73C-918B0E59C61C}">
  <sheetPr codeName="Sheet12">
    <tabColor theme="9"/>
  </sheetPr>
  <dimension ref="A2:K130"/>
  <sheetViews>
    <sheetView showGridLines="0" zoomScaleNormal="100" workbookViewId="0">
      <pane xSplit="1" ySplit="8" topLeftCell="B45" activePane="bottomRight" state="frozen"/>
      <selection pane="topRight" activeCell="B1" sqref="B1"/>
      <selection pane="bottomLeft" activeCell="A14" sqref="A14"/>
      <selection pane="bottomRight" activeCell="B55" sqref="B55"/>
    </sheetView>
  </sheetViews>
  <sheetFormatPr defaultColWidth="8.7265625" defaultRowHeight="12.5"/>
  <cols>
    <col min="1" max="1" width="3.90625" style="37" customWidth="1"/>
    <col min="2" max="2" width="84.90625" style="37" customWidth="1"/>
    <col min="3" max="3" width="15.26953125" style="39" customWidth="1"/>
    <col min="4" max="4" width="12.08984375" style="37" bestFit="1" customWidth="1"/>
    <col min="5" max="5" width="13.26953125" style="37" customWidth="1"/>
    <col min="6" max="7" width="15.6328125" style="37" customWidth="1"/>
    <col min="8" max="8" width="14.81640625" style="37" customWidth="1"/>
    <col min="9" max="9" width="18.08984375" style="37" customWidth="1"/>
    <col min="10" max="10" width="53.7265625" style="37" customWidth="1"/>
    <col min="11" max="11" width="4.453125" style="37" customWidth="1"/>
    <col min="12" max="12" width="15.26953125" style="37" customWidth="1"/>
    <col min="13" max="16384" width="8.7265625" style="37"/>
  </cols>
  <sheetData>
    <row r="2" spans="1:11" ht="16.5" customHeight="1">
      <c r="B2" s="38" t="str">
        <f>Project_Name</f>
        <v>South Australia Oil and Gas Financial Assurance Calculator</v>
      </c>
      <c r="F2" s="40"/>
    </row>
    <row r="3" spans="1:11" ht="3" customHeight="1"/>
    <row r="4" spans="1:11" ht="15.75" customHeight="1">
      <c r="B4" s="41" t="s">
        <v>24</v>
      </c>
      <c r="C4" s="42" t="str">
        <f>Site_name</f>
        <v>Enter project name in Information tab</v>
      </c>
      <c r="D4" s="43"/>
      <c r="E4" s="44"/>
    </row>
    <row r="5" spans="1:11" ht="14.15" customHeight="1"/>
    <row r="6" spans="1:11" ht="17.25" customHeight="1">
      <c r="B6" s="45" t="s">
        <v>46</v>
      </c>
      <c r="C6" s="46"/>
      <c r="D6" s="5"/>
      <c r="E6" s="5"/>
      <c r="F6" s="5"/>
      <c r="G6" s="5"/>
      <c r="H6" s="5"/>
      <c r="I6" s="5"/>
      <c r="J6" s="5"/>
    </row>
    <row r="7" spans="1:11" ht="5" customHeight="1">
      <c r="B7" s="39"/>
      <c r="D7" s="39"/>
      <c r="E7" s="39"/>
      <c r="F7" s="39"/>
      <c r="G7" s="39"/>
      <c r="H7" s="39"/>
      <c r="I7" s="39"/>
      <c r="J7" s="39"/>
      <c r="K7" s="39"/>
    </row>
    <row r="8" spans="1:11" ht="23.5" customHeight="1">
      <c r="B8" s="47" t="s">
        <v>48</v>
      </c>
      <c r="C8" s="48" t="s">
        <v>42</v>
      </c>
      <c r="D8" s="49" t="s">
        <v>39</v>
      </c>
      <c r="E8" s="49" t="s">
        <v>38</v>
      </c>
      <c r="F8" s="49" t="s">
        <v>49</v>
      </c>
      <c r="G8" s="49" t="s">
        <v>50</v>
      </c>
      <c r="H8" s="49" t="s">
        <v>51</v>
      </c>
      <c r="I8" s="49" t="s">
        <v>52</v>
      </c>
      <c r="J8" s="49" t="s">
        <v>47</v>
      </c>
    </row>
    <row r="9" spans="1:11" ht="13">
      <c r="B9" s="50" t="s">
        <v>682</v>
      </c>
      <c r="C9" s="51"/>
      <c r="D9" s="51"/>
      <c r="E9" s="51"/>
      <c r="F9" s="51"/>
      <c r="G9" s="51"/>
      <c r="H9" s="51"/>
      <c r="I9" s="52">
        <f>SUBTOTAL(9,I10:I17)</f>
        <v>0</v>
      </c>
      <c r="J9" s="53"/>
    </row>
    <row r="10" spans="1:11" ht="13">
      <c r="B10" s="54" t="str">
        <f>'Cost Schedule'!B7</f>
        <v>Seismic 2D</v>
      </c>
      <c r="C10" s="90"/>
      <c r="D10" s="37" t="str">
        <f>'Cost Schedule'!D7</f>
        <v>km</v>
      </c>
      <c r="E10" s="55">
        <f>'Cost Schedule'!C7</f>
        <v>1500</v>
      </c>
      <c r="F10" s="93"/>
      <c r="G10" s="56">
        <f t="shared" ref="G10:G11" si="0">IF(F10="",E10,F10)</f>
        <v>1500</v>
      </c>
      <c r="H10" s="37" t="str">
        <f t="shared" ref="H10:H17" si="1">D10</f>
        <v>km</v>
      </c>
      <c r="I10" s="57">
        <f t="shared" ref="I10:I17" si="2">C10*G10</f>
        <v>0</v>
      </c>
      <c r="J10" s="95"/>
    </row>
    <row r="11" spans="1:11" ht="13">
      <c r="B11" s="54" t="str">
        <f>'Cost Schedule'!B8</f>
        <v>Seismic 3D</v>
      </c>
      <c r="C11" s="91"/>
      <c r="D11" s="37" t="str">
        <f>'Cost Schedule'!D8</f>
        <v>ha</v>
      </c>
      <c r="E11" s="58">
        <f>'Cost Schedule'!C8</f>
        <v>4200</v>
      </c>
      <c r="F11" s="94"/>
      <c r="G11" s="59">
        <f t="shared" si="0"/>
        <v>4200</v>
      </c>
      <c r="H11" s="37" t="str">
        <f t="shared" si="1"/>
        <v>ha</v>
      </c>
      <c r="I11" s="60">
        <f t="shared" si="2"/>
        <v>0</v>
      </c>
      <c r="J11" s="96"/>
    </row>
    <row r="12" spans="1:11" ht="13">
      <c r="B12" s="54" t="str">
        <f>'Cost Schedule'!B9</f>
        <v>Track 3 m wide</v>
      </c>
      <c r="C12" s="91"/>
      <c r="D12" s="37" t="str">
        <f>'Cost Schedule'!D9</f>
        <v>km</v>
      </c>
      <c r="E12" s="58">
        <f>'Cost Schedule'!C9</f>
        <v>800</v>
      </c>
      <c r="F12" s="94"/>
      <c r="G12" s="59">
        <f t="shared" ref="G12:G16" si="3">IF(F12="",E12,F12)</f>
        <v>800</v>
      </c>
      <c r="H12" s="37" t="str">
        <f t="shared" si="1"/>
        <v>km</v>
      </c>
      <c r="I12" s="60">
        <f t="shared" si="2"/>
        <v>0</v>
      </c>
      <c r="J12" s="96"/>
    </row>
    <row r="13" spans="1:11" ht="13">
      <c r="B13" s="54" t="str">
        <f>'Cost Schedule'!B10</f>
        <v>Track 6 m wide</v>
      </c>
      <c r="C13" s="91"/>
      <c r="D13" s="37" t="str">
        <f>'Cost Schedule'!D10</f>
        <v>km</v>
      </c>
      <c r="E13" s="58">
        <f>'Cost Schedule'!C10</f>
        <v>1500</v>
      </c>
      <c r="F13" s="94"/>
      <c r="G13" s="59">
        <f t="shared" si="3"/>
        <v>1500</v>
      </c>
      <c r="H13" s="37" t="str">
        <f t="shared" si="1"/>
        <v>km</v>
      </c>
      <c r="I13" s="60">
        <f t="shared" si="2"/>
        <v>0</v>
      </c>
      <c r="J13" s="96"/>
    </row>
    <row r="14" spans="1:11" ht="13">
      <c r="B14" s="54" t="str">
        <f>'Cost Schedule'!B11</f>
        <v>Drilling Mud-Sump</v>
      </c>
      <c r="C14" s="92"/>
      <c r="D14" s="37" t="str">
        <f>'Cost Schedule'!D11</f>
        <v>sump</v>
      </c>
      <c r="E14" s="58">
        <f>'Cost Schedule'!C11</f>
        <v>2900</v>
      </c>
      <c r="F14" s="94"/>
      <c r="G14" s="59">
        <f t="shared" si="3"/>
        <v>2900</v>
      </c>
      <c r="H14" s="37" t="str">
        <f t="shared" si="1"/>
        <v>sump</v>
      </c>
      <c r="I14" s="60">
        <f t="shared" si="2"/>
        <v>0</v>
      </c>
      <c r="J14" s="96"/>
    </row>
    <row r="15" spans="1:11" ht="13">
      <c r="A15" s="61"/>
      <c r="B15" s="54" t="str">
        <f>'Cost Schedule'!B12</f>
        <v>Exploration dam</v>
      </c>
      <c r="C15" s="92"/>
      <c r="D15" s="37" t="str">
        <f>'Cost Schedule'!D12</f>
        <v>dam</v>
      </c>
      <c r="E15" s="58">
        <f>'Cost Schedule'!C12</f>
        <v>14000</v>
      </c>
      <c r="F15" s="94"/>
      <c r="G15" s="59">
        <f t="shared" si="3"/>
        <v>14000</v>
      </c>
      <c r="H15" s="37" t="str">
        <f t="shared" si="1"/>
        <v>dam</v>
      </c>
      <c r="I15" s="60">
        <f t="shared" si="2"/>
        <v>0</v>
      </c>
      <c r="J15" s="96"/>
    </row>
    <row r="16" spans="1:11" ht="13">
      <c r="A16" s="61"/>
      <c r="B16" s="54" t="str">
        <f>'Cost Schedule'!B13</f>
        <v>Land used for exploration activities</v>
      </c>
      <c r="C16" s="91"/>
      <c r="D16" s="37" t="str">
        <f>'Cost Schedule'!D13</f>
        <v>ha</v>
      </c>
      <c r="E16" s="58">
        <f>'Cost Schedule'!C13</f>
        <v>2700</v>
      </c>
      <c r="F16" s="94"/>
      <c r="G16" s="59">
        <f t="shared" si="3"/>
        <v>2700</v>
      </c>
      <c r="H16" s="37" t="str">
        <f t="shared" si="1"/>
        <v>ha</v>
      </c>
      <c r="I16" s="60">
        <f t="shared" si="2"/>
        <v>0</v>
      </c>
      <c r="J16" s="96"/>
    </row>
    <row r="17" spans="1:10" ht="13">
      <c r="A17" s="61"/>
      <c r="B17" s="54" t="str">
        <f>'Cost Schedule'!B14</f>
        <v>Exploration bore</v>
      </c>
      <c r="C17" s="92"/>
      <c r="D17" s="37" t="str">
        <f>'Cost Schedule'!D14</f>
        <v>hole</v>
      </c>
      <c r="E17" s="58">
        <f>'Cost Schedule'!C14</f>
        <v>900</v>
      </c>
      <c r="F17" s="94"/>
      <c r="G17" s="59">
        <f t="shared" ref="G17" si="4">IF(F17="",E17,F17)</f>
        <v>900</v>
      </c>
      <c r="H17" s="37" t="str">
        <f t="shared" si="1"/>
        <v>hole</v>
      </c>
      <c r="I17" s="60">
        <f t="shared" si="2"/>
        <v>0</v>
      </c>
      <c r="J17" s="96"/>
    </row>
    <row r="18" spans="1:10" ht="13">
      <c r="A18" s="61"/>
      <c r="B18" s="50" t="s">
        <v>683</v>
      </c>
      <c r="C18" s="51"/>
      <c r="D18" s="51"/>
      <c r="E18" s="51"/>
      <c r="F18" s="62"/>
      <c r="G18" s="51"/>
      <c r="H18" s="51"/>
      <c r="I18" s="52">
        <f>SUBTOTAL(9,I19:I39)</f>
        <v>0</v>
      </c>
      <c r="J18" s="53"/>
    </row>
    <row r="19" spans="1:10" ht="13">
      <c r="A19" s="61"/>
      <c r="B19" s="63" t="str">
        <f>'Cost Schedule'!B24</f>
        <v>Track 3 m wide</v>
      </c>
      <c r="C19" s="91"/>
      <c r="D19" s="37" t="str">
        <f>'Cost Schedule'!D24</f>
        <v>km</v>
      </c>
      <c r="E19" s="58">
        <f>'Cost Schedule'!C24</f>
        <v>800</v>
      </c>
      <c r="F19" s="94"/>
      <c r="G19" s="59">
        <f t="shared" ref="G19" si="5">IF(F19="",E19,F19)</f>
        <v>800</v>
      </c>
      <c r="H19" s="37" t="str">
        <f t="shared" ref="H19:H39" si="6">D19</f>
        <v>km</v>
      </c>
      <c r="I19" s="60">
        <f t="shared" ref="I19:I39" si="7">G19*C19</f>
        <v>0</v>
      </c>
      <c r="J19" s="97"/>
    </row>
    <row r="20" spans="1:10" ht="13">
      <c r="A20" s="61"/>
      <c r="B20" s="63" t="str">
        <f>'Cost Schedule'!B25</f>
        <v>Track 6 m wide</v>
      </c>
      <c r="C20" s="91"/>
      <c r="D20" s="37" t="str">
        <f>'Cost Schedule'!D25</f>
        <v>km</v>
      </c>
      <c r="E20" s="58">
        <f>'Cost Schedule'!C25</f>
        <v>1500</v>
      </c>
      <c r="F20" s="94"/>
      <c r="G20" s="59">
        <f t="shared" ref="G20:G39" si="8">IF(F20="",E20,F20)</f>
        <v>1500</v>
      </c>
      <c r="H20" s="37" t="str">
        <f t="shared" si="6"/>
        <v>km</v>
      </c>
      <c r="I20" s="60">
        <f t="shared" si="7"/>
        <v>0</v>
      </c>
      <c r="J20" s="97"/>
    </row>
    <row r="21" spans="1:10" ht="13">
      <c r="A21" s="61"/>
      <c r="B21" s="63" t="str">
        <f>'Cost Schedule'!B26</f>
        <v>Laydown</v>
      </c>
      <c r="C21" s="91"/>
      <c r="D21" s="37" t="str">
        <f>'Cost Schedule'!D26</f>
        <v>ha</v>
      </c>
      <c r="E21" s="58">
        <f>'Cost Schedule'!C26</f>
        <v>6100</v>
      </c>
      <c r="F21" s="94"/>
      <c r="G21" s="59">
        <f t="shared" si="8"/>
        <v>6100</v>
      </c>
      <c r="H21" s="37" t="str">
        <f t="shared" si="6"/>
        <v>ha</v>
      </c>
      <c r="I21" s="60">
        <f t="shared" si="7"/>
        <v>0</v>
      </c>
      <c r="J21" s="97"/>
    </row>
    <row r="22" spans="1:10" ht="13">
      <c r="A22" s="61"/>
      <c r="B22" s="63" t="str">
        <f>'Cost Schedule'!B27</f>
        <v>Borrow Pit</v>
      </c>
      <c r="C22" s="91"/>
      <c r="D22" s="37" t="str">
        <f>'Cost Schedule'!D27</f>
        <v>ha</v>
      </c>
      <c r="E22" s="58">
        <f>'Cost Schedule'!C27</f>
        <v>5200</v>
      </c>
      <c r="F22" s="94"/>
      <c r="G22" s="59">
        <f t="shared" si="8"/>
        <v>5200</v>
      </c>
      <c r="H22" s="37" t="str">
        <f t="shared" si="6"/>
        <v>ha</v>
      </c>
      <c r="I22" s="60">
        <f t="shared" si="7"/>
        <v>0</v>
      </c>
      <c r="J22" s="97"/>
    </row>
    <row r="23" spans="1:10" ht="13">
      <c r="A23" s="61"/>
      <c r="B23" s="63" t="str">
        <f>'Cost Schedule'!B28</f>
        <v>Mobile camp</v>
      </c>
      <c r="C23" s="91"/>
      <c r="D23" s="37" t="str">
        <f>'Cost Schedule'!D28</f>
        <v>m2</v>
      </c>
      <c r="E23" s="64">
        <f>'Cost Schedule'!C28</f>
        <v>39.145024689738293</v>
      </c>
      <c r="F23" s="94"/>
      <c r="G23" s="65">
        <f t="shared" si="8"/>
        <v>39.145024689738293</v>
      </c>
      <c r="H23" s="37" t="str">
        <f t="shared" si="6"/>
        <v>m2</v>
      </c>
      <c r="I23" s="60">
        <f t="shared" si="7"/>
        <v>0</v>
      </c>
      <c r="J23" s="97"/>
    </row>
    <row r="24" spans="1:10" ht="13">
      <c r="A24" s="61"/>
      <c r="B24" s="63" t="str">
        <f>'Cost Schedule'!B29</f>
        <v>Permanent camp</v>
      </c>
      <c r="C24" s="91"/>
      <c r="D24" s="37" t="str">
        <f>'Cost Schedule'!D29</f>
        <v>m2</v>
      </c>
      <c r="E24" s="64">
        <f>'Cost Schedule'!C29</f>
        <v>51.525966009821929</v>
      </c>
      <c r="F24" s="94"/>
      <c r="G24" s="65">
        <f t="shared" si="8"/>
        <v>51.525966009821929</v>
      </c>
      <c r="H24" s="37" t="str">
        <f t="shared" si="6"/>
        <v>m2</v>
      </c>
      <c r="I24" s="60">
        <f t="shared" si="7"/>
        <v>0</v>
      </c>
      <c r="J24" s="97"/>
    </row>
    <row r="25" spans="1:10" ht="13">
      <c r="A25" s="61"/>
      <c r="B25" s="63" t="str">
        <f>'Cost Schedule'!B30</f>
        <v>Buildings - steel</v>
      </c>
      <c r="C25" s="91"/>
      <c r="D25" s="37" t="str">
        <f>'Cost Schedule'!D30</f>
        <v>m2</v>
      </c>
      <c r="E25" s="64">
        <f>'Cost Schedule'!C30</f>
        <v>90</v>
      </c>
      <c r="F25" s="94"/>
      <c r="G25" s="65">
        <f t="shared" si="8"/>
        <v>90</v>
      </c>
      <c r="H25" s="37" t="str">
        <f t="shared" si="6"/>
        <v>m2</v>
      </c>
      <c r="I25" s="60">
        <f t="shared" si="7"/>
        <v>0</v>
      </c>
      <c r="J25" s="96"/>
    </row>
    <row r="26" spans="1:10" ht="13">
      <c r="A26" s="61"/>
      <c r="B26" s="63" t="str">
        <f>'Cost Schedule'!B31</f>
        <v>Buildings - brick</v>
      </c>
      <c r="C26" s="91"/>
      <c r="D26" s="37" t="str">
        <f>'Cost Schedule'!D31</f>
        <v>m2</v>
      </c>
      <c r="E26" s="58">
        <f>'Cost Schedule'!C31</f>
        <v>120</v>
      </c>
      <c r="F26" s="94"/>
      <c r="G26" s="65">
        <f t="shared" si="8"/>
        <v>120</v>
      </c>
      <c r="H26" s="37" t="str">
        <f t="shared" si="6"/>
        <v>m2</v>
      </c>
      <c r="I26" s="60">
        <f t="shared" si="7"/>
        <v>0</v>
      </c>
      <c r="J26" s="96"/>
    </row>
    <row r="27" spans="1:10" ht="13">
      <c r="A27" s="61"/>
      <c r="B27" s="63" t="str">
        <f>'Cost Schedule'!B32</f>
        <v>Communications tower</v>
      </c>
      <c r="C27" s="91"/>
      <c r="D27" s="37" t="str">
        <f>'Cost Schedule'!D32</f>
        <v>structure</v>
      </c>
      <c r="E27" s="58">
        <f>'Cost Schedule'!C32</f>
        <v>22000</v>
      </c>
      <c r="F27" s="94"/>
      <c r="G27" s="59">
        <f t="shared" si="8"/>
        <v>22000</v>
      </c>
      <c r="H27" s="37" t="str">
        <f t="shared" si="6"/>
        <v>structure</v>
      </c>
      <c r="I27" s="60">
        <f t="shared" si="7"/>
        <v>0</v>
      </c>
      <c r="J27" s="96"/>
    </row>
    <row r="28" spans="1:10" ht="13">
      <c r="A28" s="61"/>
      <c r="B28" s="63" t="str">
        <f>'Cost Schedule'!B33</f>
        <v>Utilities</v>
      </c>
      <c r="C28" s="91"/>
      <c r="D28" s="37" t="str">
        <f>'Cost Schedule'!D33</f>
        <v>site</v>
      </c>
      <c r="E28" s="58">
        <f>'Cost Schedule'!C33</f>
        <v>37000</v>
      </c>
      <c r="F28" s="94"/>
      <c r="G28" s="59">
        <f t="shared" si="8"/>
        <v>37000</v>
      </c>
      <c r="H28" s="37" t="str">
        <f t="shared" si="6"/>
        <v>site</v>
      </c>
      <c r="I28" s="60">
        <f t="shared" si="7"/>
        <v>0</v>
      </c>
      <c r="J28" s="97"/>
    </row>
    <row r="29" spans="1:10" ht="13">
      <c r="A29" s="61"/>
      <c r="B29" s="63" t="str">
        <f>'Cost Schedule'!B34</f>
        <v>Substations</v>
      </c>
      <c r="C29" s="91"/>
      <c r="D29" s="37" t="str">
        <f>'Cost Schedule'!D34</f>
        <v>m2</v>
      </c>
      <c r="E29" s="64">
        <f>'Cost Schedule'!C34</f>
        <v>60</v>
      </c>
      <c r="F29" s="94"/>
      <c r="G29" s="59">
        <f t="shared" si="8"/>
        <v>60</v>
      </c>
      <c r="H29" s="37" t="str">
        <f t="shared" si="6"/>
        <v>m2</v>
      </c>
      <c r="I29" s="60">
        <f t="shared" si="7"/>
        <v>0</v>
      </c>
      <c r="J29" s="97"/>
    </row>
    <row r="30" spans="1:10" ht="13">
      <c r="A30" s="61"/>
      <c r="B30" s="63" t="str">
        <f>'Cost Schedule'!B35</f>
        <v>Power generation</v>
      </c>
      <c r="C30" s="91"/>
      <c r="D30" s="37" t="str">
        <f>'Cost Schedule'!D35</f>
        <v>MW</v>
      </c>
      <c r="E30" s="58">
        <f>'Cost Schedule'!C35</f>
        <v>200</v>
      </c>
      <c r="F30" s="94"/>
      <c r="G30" s="59">
        <f t="shared" si="8"/>
        <v>200</v>
      </c>
      <c r="H30" s="37" t="str">
        <f t="shared" si="6"/>
        <v>MW</v>
      </c>
      <c r="I30" s="60">
        <f t="shared" si="7"/>
        <v>0</v>
      </c>
      <c r="J30" s="96"/>
    </row>
    <row r="31" spans="1:10" ht="13">
      <c r="A31" s="61"/>
      <c r="B31" s="63" t="str">
        <f>'Cost Schedule'!B36</f>
        <v>Power lines</v>
      </c>
      <c r="C31" s="91"/>
      <c r="D31" s="37" t="str">
        <f>'Cost Schedule'!D36</f>
        <v>km</v>
      </c>
      <c r="E31" s="58">
        <f>'Cost Schedule'!C36</f>
        <v>27000</v>
      </c>
      <c r="F31" s="94"/>
      <c r="G31" s="59">
        <f t="shared" si="8"/>
        <v>27000</v>
      </c>
      <c r="H31" s="37" t="str">
        <f t="shared" si="6"/>
        <v>km</v>
      </c>
      <c r="I31" s="60">
        <f t="shared" si="7"/>
        <v>0</v>
      </c>
      <c r="J31" s="96"/>
    </row>
    <row r="32" spans="1:10" ht="13">
      <c r="A32" s="61"/>
      <c r="B32" s="63" t="str">
        <f>'Cost Schedule'!B37</f>
        <v>Lined pond with contaminated water</v>
      </c>
      <c r="C32" s="91"/>
      <c r="D32" s="37" t="str">
        <f>'Cost Schedule'!D37</f>
        <v>ha</v>
      </c>
      <c r="E32" s="58">
        <f>'Cost Schedule'!C37</f>
        <v>51000</v>
      </c>
      <c r="F32" s="94"/>
      <c r="G32" s="59">
        <f t="shared" si="8"/>
        <v>51000</v>
      </c>
      <c r="H32" s="37" t="str">
        <f t="shared" si="6"/>
        <v>ha</v>
      </c>
      <c r="I32" s="60">
        <f t="shared" si="7"/>
        <v>0</v>
      </c>
      <c r="J32" s="96"/>
    </row>
    <row r="33" spans="1:10" ht="13">
      <c r="A33" s="61"/>
      <c r="B33" s="63" t="str">
        <f>'Cost Schedule'!B38</f>
        <v>Lined pond without contaminated water</v>
      </c>
      <c r="C33" s="91"/>
      <c r="D33" s="37" t="str">
        <f>'Cost Schedule'!D38</f>
        <v>ha</v>
      </c>
      <c r="E33" s="58">
        <f>'Cost Schedule'!C38</f>
        <v>41000</v>
      </c>
      <c r="F33" s="94"/>
      <c r="G33" s="59">
        <f t="shared" si="8"/>
        <v>41000</v>
      </c>
      <c r="H33" s="37" t="str">
        <f t="shared" si="6"/>
        <v>ha</v>
      </c>
      <c r="I33" s="60">
        <f t="shared" si="7"/>
        <v>0</v>
      </c>
      <c r="J33" s="96"/>
    </row>
    <row r="34" spans="1:10" ht="13">
      <c r="A34" s="61"/>
      <c r="B34" s="63" t="str">
        <f>'Cost Schedule'!B39</f>
        <v>Unlined pond with clean water</v>
      </c>
      <c r="C34" s="91"/>
      <c r="D34" s="37" t="str">
        <f>'Cost Schedule'!D39</f>
        <v>ha</v>
      </c>
      <c r="E34" s="58">
        <f>'Cost Schedule'!C39</f>
        <v>30000</v>
      </c>
      <c r="F34" s="94"/>
      <c r="G34" s="59">
        <f t="shared" si="8"/>
        <v>30000</v>
      </c>
      <c r="H34" s="37" t="str">
        <f t="shared" si="6"/>
        <v>ha</v>
      </c>
      <c r="I34" s="60">
        <f t="shared" si="7"/>
        <v>0</v>
      </c>
      <c r="J34" s="96"/>
    </row>
    <row r="35" spans="1:10" ht="13">
      <c r="A35" s="61"/>
      <c r="B35" s="63" t="str">
        <f>'Cost Schedule'!B40</f>
        <v>Water treatment</v>
      </c>
      <c r="C35" s="91"/>
      <c r="D35" s="37" t="str">
        <f>'Cost Schedule'!D40</f>
        <v>ML</v>
      </c>
      <c r="E35" s="58">
        <f>'Cost Schedule'!C40</f>
        <v>2300</v>
      </c>
      <c r="F35" s="94"/>
      <c r="G35" s="59">
        <f t="shared" si="8"/>
        <v>2300</v>
      </c>
      <c r="H35" s="37" t="str">
        <f t="shared" si="6"/>
        <v>ML</v>
      </c>
      <c r="I35" s="60">
        <f t="shared" si="7"/>
        <v>0</v>
      </c>
      <c r="J35" s="96"/>
    </row>
    <row r="36" spans="1:10" ht="13">
      <c r="A36" s="61"/>
      <c r="B36" s="63" t="str">
        <f>'Cost Schedule'!B41</f>
        <v>Steel tank &lt;=500kL</v>
      </c>
      <c r="C36" s="91"/>
      <c r="D36" s="37" t="str">
        <f>'Cost Schedule'!D41</f>
        <v>tank</v>
      </c>
      <c r="E36" s="58">
        <f>'Cost Schedule'!C41</f>
        <v>15000</v>
      </c>
      <c r="F36" s="94"/>
      <c r="G36" s="59">
        <f t="shared" si="8"/>
        <v>15000</v>
      </c>
      <c r="H36" s="37" t="str">
        <f t="shared" si="6"/>
        <v>tank</v>
      </c>
      <c r="I36" s="60">
        <f t="shared" si="7"/>
        <v>0</v>
      </c>
      <c r="J36" s="96"/>
    </row>
    <row r="37" spans="1:10" ht="13">
      <c r="A37" s="61"/>
      <c r="B37" s="63" t="str">
        <f>'Cost Schedule'!B42</f>
        <v>Steel tank &gt;500kL</v>
      </c>
      <c r="C37" s="91"/>
      <c r="D37" s="37" t="str">
        <f>'Cost Schedule'!D42</f>
        <v>kL</v>
      </c>
      <c r="E37" s="64">
        <f>'Cost Schedule'!C42</f>
        <v>30</v>
      </c>
      <c r="F37" s="94"/>
      <c r="G37" s="59">
        <f t="shared" si="8"/>
        <v>30</v>
      </c>
      <c r="H37" s="37" t="str">
        <f t="shared" si="6"/>
        <v>kL</v>
      </c>
      <c r="I37" s="60">
        <f t="shared" si="7"/>
        <v>0</v>
      </c>
      <c r="J37" s="96"/>
    </row>
    <row r="38" spans="1:10" ht="13">
      <c r="A38" s="61"/>
      <c r="B38" s="63" t="str">
        <f>'Cost Schedule'!B43</f>
        <v>Water supply / monitoring bore</v>
      </c>
      <c r="C38" s="91"/>
      <c r="D38" s="37" t="str">
        <f>'Cost Schedule'!D43</f>
        <v>bore</v>
      </c>
      <c r="E38" s="58">
        <f>'Cost Schedule'!C43</f>
        <v>1000</v>
      </c>
      <c r="F38" s="94"/>
      <c r="G38" s="59">
        <f t="shared" si="8"/>
        <v>1000</v>
      </c>
      <c r="H38" s="37" t="str">
        <f t="shared" si="6"/>
        <v>bore</v>
      </c>
      <c r="I38" s="60">
        <f t="shared" si="7"/>
        <v>0</v>
      </c>
      <c r="J38" s="96"/>
    </row>
    <row r="39" spans="1:10" ht="13">
      <c r="A39" s="61"/>
      <c r="B39" s="63" t="str">
        <f>'Cost Schedule'!B44</f>
        <v>Reinjection bore</v>
      </c>
      <c r="C39" s="91"/>
      <c r="D39" s="37" t="str">
        <f>'Cost Schedule'!D44</f>
        <v>bore</v>
      </c>
      <c r="E39" s="58">
        <f>'Cost Schedule'!C44</f>
        <v>7000</v>
      </c>
      <c r="F39" s="94"/>
      <c r="G39" s="59">
        <f t="shared" si="8"/>
        <v>7000</v>
      </c>
      <c r="H39" s="37" t="str">
        <f t="shared" si="6"/>
        <v>bore</v>
      </c>
      <c r="I39" s="60">
        <f t="shared" si="7"/>
        <v>0</v>
      </c>
      <c r="J39" s="96"/>
    </row>
    <row r="40" spans="1:10" ht="13">
      <c r="A40" s="61"/>
      <c r="B40" s="50" t="s">
        <v>684</v>
      </c>
      <c r="C40" s="51"/>
      <c r="D40" s="51"/>
      <c r="E40" s="51"/>
      <c r="F40" s="51"/>
      <c r="G40" s="51"/>
      <c r="H40" s="51"/>
      <c r="I40" s="52">
        <f>SUBTOTAL(9,I41:I46)</f>
        <v>0</v>
      </c>
      <c r="J40" s="53"/>
    </row>
    <row r="41" spans="1:10" ht="13">
      <c r="A41" s="61"/>
      <c r="B41" s="66" t="str">
        <f>'Cost Schedule'!B91</f>
        <v>Coreholes</v>
      </c>
      <c r="C41" s="92"/>
      <c r="D41" s="37" t="str">
        <f>'Cost Schedule'!D91</f>
        <v>hole</v>
      </c>
      <c r="E41" s="67">
        <f>'Cost Schedule'!C91</f>
        <v>170</v>
      </c>
      <c r="F41" s="94"/>
      <c r="G41" s="59">
        <f t="shared" ref="G41" si="9">IF(F41="",E41,F41)</f>
        <v>170</v>
      </c>
      <c r="H41" s="37" t="str">
        <f t="shared" ref="H41:H46" si="10">D41</f>
        <v>hole</v>
      </c>
      <c r="I41" s="60">
        <f t="shared" ref="I41:I46" si="11">G41*C41</f>
        <v>0</v>
      </c>
      <c r="J41" s="97"/>
    </row>
    <row r="42" spans="1:10" ht="13">
      <c r="A42" s="61"/>
      <c r="B42" s="66" t="str">
        <f>'Cost Schedule'!B92</f>
        <v>Plugged and abandoned oil or gas well</v>
      </c>
      <c r="C42" s="92"/>
      <c r="D42" s="37" t="str">
        <f>'Cost Schedule'!D92</f>
        <v>hole</v>
      </c>
      <c r="E42" s="67">
        <f>'Cost Schedule'!C92</f>
        <v>800</v>
      </c>
      <c r="F42" s="94"/>
      <c r="G42" s="59">
        <f t="shared" ref="G42:G46" si="12">IF(F42="",E42,F42)</f>
        <v>800</v>
      </c>
      <c r="H42" s="37" t="str">
        <f t="shared" si="10"/>
        <v>hole</v>
      </c>
      <c r="I42" s="60">
        <f t="shared" si="11"/>
        <v>0</v>
      </c>
      <c r="J42" s="97"/>
    </row>
    <row r="43" spans="1:10" ht="13">
      <c r="A43" s="61"/>
      <c r="B43" s="66" t="str">
        <f>'Cost Schedule'!B93</f>
        <v>Conventional oil well with no or limited equipment</v>
      </c>
      <c r="C43" s="98"/>
      <c r="D43" s="37" t="str">
        <f>'Cost Schedule'!D93</f>
        <v>m2</v>
      </c>
      <c r="E43" s="68">
        <f>'Cost Schedule'!C93</f>
        <v>0.7617102248984996</v>
      </c>
      <c r="F43" s="94"/>
      <c r="G43" s="65">
        <f t="shared" si="12"/>
        <v>0.7617102248984996</v>
      </c>
      <c r="H43" s="37" t="str">
        <f t="shared" si="10"/>
        <v>m2</v>
      </c>
      <c r="I43" s="69">
        <f t="shared" si="11"/>
        <v>0</v>
      </c>
      <c r="J43" s="97"/>
    </row>
    <row r="44" spans="1:10" ht="13">
      <c r="A44" s="61"/>
      <c r="B44" s="66" t="str">
        <f>'Cost Schedule'!B94</f>
        <v>Conventional oil well with equipment</v>
      </c>
      <c r="C44" s="98"/>
      <c r="D44" s="37" t="str">
        <f>'Cost Schedule'!D94</f>
        <v>m2</v>
      </c>
      <c r="E44" s="68">
        <f>'Cost Schedule'!C94</f>
        <v>2.4905949400181164</v>
      </c>
      <c r="F44" s="94"/>
      <c r="G44" s="65">
        <f t="shared" si="12"/>
        <v>2.4905949400181164</v>
      </c>
      <c r="H44" s="37" t="str">
        <f t="shared" si="10"/>
        <v>m2</v>
      </c>
      <c r="I44" s="69">
        <f t="shared" si="11"/>
        <v>0</v>
      </c>
      <c r="J44" s="97"/>
    </row>
    <row r="45" spans="1:10" ht="13">
      <c r="A45" s="61"/>
      <c r="B45" s="66" t="str">
        <f>'Cost Schedule'!B95</f>
        <v>Conventional gas well with no or limited equipment</v>
      </c>
      <c r="C45" s="98"/>
      <c r="D45" s="37" t="str">
        <f>'Cost Schedule'!D95</f>
        <v>m2</v>
      </c>
      <c r="E45" s="68">
        <f>'Cost Schedule'!C95</f>
        <v>1.0888722309422814</v>
      </c>
      <c r="F45" s="94"/>
      <c r="G45" s="65">
        <f t="shared" si="12"/>
        <v>1.0888722309422814</v>
      </c>
      <c r="H45" s="37" t="str">
        <f t="shared" si="10"/>
        <v>m2</v>
      </c>
      <c r="I45" s="69">
        <f t="shared" si="11"/>
        <v>0</v>
      </c>
      <c r="J45" s="97"/>
    </row>
    <row r="46" spans="1:10" ht="13">
      <c r="A46" s="61"/>
      <c r="B46" s="66" t="str">
        <f>'Cost Schedule'!B96</f>
        <v>Conventional gas well with equipment</v>
      </c>
      <c r="C46" s="98"/>
      <c r="D46" s="37" t="str">
        <f>'Cost Schedule'!D96</f>
        <v>m2</v>
      </c>
      <c r="E46" s="68">
        <f>'Cost Schedule'!C96</f>
        <v>1.3872805002969975</v>
      </c>
      <c r="F46" s="94"/>
      <c r="G46" s="65">
        <f t="shared" si="12"/>
        <v>1.3872805002969975</v>
      </c>
      <c r="H46" s="37" t="str">
        <f t="shared" si="10"/>
        <v>m2</v>
      </c>
      <c r="I46" s="69">
        <f t="shared" si="11"/>
        <v>0</v>
      </c>
      <c r="J46" s="97"/>
    </row>
    <row r="47" spans="1:10" ht="13">
      <c r="A47" s="61"/>
      <c r="B47" s="50" t="s">
        <v>685</v>
      </c>
      <c r="C47" s="51"/>
      <c r="D47" s="51"/>
      <c r="E47" s="51"/>
      <c r="F47" s="51"/>
      <c r="G47" s="51"/>
      <c r="H47" s="51"/>
      <c r="I47" s="52">
        <f>SUBTOTAL(9,I48:I62)</f>
        <v>0</v>
      </c>
      <c r="J47" s="53"/>
    </row>
    <row r="48" spans="1:10" ht="13">
      <c r="A48" s="61"/>
      <c r="B48" s="70" t="str">
        <f>'Cost Schedule'!B99</f>
        <v>Abandonment plan</v>
      </c>
      <c r="C48" s="92"/>
      <c r="D48" s="37" t="str">
        <f>'Cost Schedule'!D99</f>
        <v>campaign</v>
      </c>
      <c r="E48" s="58">
        <f>'Cost Schedule'!C99</f>
        <v>44000</v>
      </c>
      <c r="F48" s="94"/>
      <c r="G48" s="59">
        <f>IF(F48="",E48,F48)</f>
        <v>44000</v>
      </c>
      <c r="H48" s="37" t="str">
        <f t="shared" ref="H48:H62" si="13">D48</f>
        <v>campaign</v>
      </c>
      <c r="I48" s="60">
        <f t="shared" ref="I48:I62" si="14">G48*C48</f>
        <v>0</v>
      </c>
      <c r="J48" s="97"/>
    </row>
    <row r="49" spans="1:10" ht="13">
      <c r="A49" s="61"/>
      <c r="B49" s="70" t="str">
        <f>'Cost Schedule'!B100</f>
        <v>Abandonment Drilling Rig Mobe / Demobe &gt;=0 to &lt;150 km one way</v>
      </c>
      <c r="C49" s="92"/>
      <c r="D49" s="37" t="str">
        <f>'Cost Schedule'!D100</f>
        <v>campaign</v>
      </c>
      <c r="E49" s="58">
        <f>'Cost Schedule'!C100</f>
        <v>29000</v>
      </c>
      <c r="F49" s="94"/>
      <c r="G49" s="59">
        <f t="shared" ref="G49:G62" si="15">IF(F49="",E49,F49)</f>
        <v>29000</v>
      </c>
      <c r="H49" s="37" t="str">
        <f t="shared" si="13"/>
        <v>campaign</v>
      </c>
      <c r="I49" s="60">
        <f t="shared" si="14"/>
        <v>0</v>
      </c>
      <c r="J49" s="97"/>
    </row>
    <row r="50" spans="1:10" ht="13">
      <c r="A50" s="61"/>
      <c r="B50" s="70" t="str">
        <f>'Cost Schedule'!B101</f>
        <v>Abandonment Drilling Rig Mobe / Demobe &gt;=150 to &lt;500 km one way</v>
      </c>
      <c r="C50" s="92"/>
      <c r="D50" s="37" t="str">
        <f>'Cost Schedule'!D101</f>
        <v>campaign</v>
      </c>
      <c r="E50" s="58">
        <f>'Cost Schedule'!C101</f>
        <v>66000</v>
      </c>
      <c r="F50" s="94"/>
      <c r="G50" s="59">
        <f t="shared" si="15"/>
        <v>66000</v>
      </c>
      <c r="H50" s="37" t="str">
        <f t="shared" si="13"/>
        <v>campaign</v>
      </c>
      <c r="I50" s="60">
        <f t="shared" si="14"/>
        <v>0</v>
      </c>
      <c r="J50" s="97"/>
    </row>
    <row r="51" spans="1:10" ht="13">
      <c r="A51" s="61"/>
      <c r="B51" s="70" t="str">
        <f>'Cost Schedule'!B102</f>
        <v>Abandonment Drilling Rig Mobe / Demobe &gt;=500 to &lt;1000 km one way</v>
      </c>
      <c r="C51" s="92"/>
      <c r="D51" s="37" t="str">
        <f>'Cost Schedule'!D102</f>
        <v>campaign</v>
      </c>
      <c r="E51" s="58">
        <f>'Cost Schedule'!C102</f>
        <v>124000</v>
      </c>
      <c r="F51" s="94"/>
      <c r="G51" s="59">
        <f t="shared" si="15"/>
        <v>124000</v>
      </c>
      <c r="H51" s="37" t="str">
        <f t="shared" si="13"/>
        <v>campaign</v>
      </c>
      <c r="I51" s="60">
        <f t="shared" si="14"/>
        <v>0</v>
      </c>
      <c r="J51" s="97"/>
    </row>
    <row r="52" spans="1:10" ht="13">
      <c r="A52" s="61"/>
      <c r="B52" s="70" t="str">
        <f>'Cost Schedule'!B103</f>
        <v>Abandonment Drilling Rig Mobe / Demobe &gt; 1000 km one way</v>
      </c>
      <c r="C52" s="92"/>
      <c r="D52" s="37" t="str">
        <f>'Cost Schedule'!D103</f>
        <v>campaign</v>
      </c>
      <c r="E52" s="58">
        <f>'Cost Schedule'!C103</f>
        <v>160000</v>
      </c>
      <c r="F52" s="94"/>
      <c r="G52" s="59">
        <f t="shared" si="15"/>
        <v>160000</v>
      </c>
      <c r="H52" s="37" t="str">
        <f t="shared" si="13"/>
        <v>campaign</v>
      </c>
      <c r="I52" s="60">
        <f t="shared" si="14"/>
        <v>0</v>
      </c>
      <c r="J52" s="97"/>
    </row>
    <row r="53" spans="1:10" ht="13">
      <c r="A53" s="61"/>
      <c r="B53" s="99" t="s">
        <v>595</v>
      </c>
      <c r="C53" s="92"/>
      <c r="D53" s="37" t="s">
        <v>76</v>
      </c>
      <c r="E53" s="58">
        <f>_xlfn.XLOOKUP(B53,'Cost Schedule'!$B$104:$B$187,'Cost Schedule'!$C$104:$C$187)</f>
        <v>205000</v>
      </c>
      <c r="F53" s="94"/>
      <c r="G53" s="59">
        <f t="shared" si="15"/>
        <v>205000</v>
      </c>
      <c r="H53" s="37" t="str">
        <f t="shared" si="13"/>
        <v>well</v>
      </c>
      <c r="I53" s="60">
        <f t="shared" si="14"/>
        <v>0</v>
      </c>
      <c r="J53" s="97"/>
    </row>
    <row r="54" spans="1:10" ht="13">
      <c r="A54" s="61"/>
      <c r="B54" s="99" t="s">
        <v>595</v>
      </c>
      <c r="C54" s="92"/>
      <c r="D54" s="37" t="s">
        <v>76</v>
      </c>
      <c r="E54" s="58">
        <f>_xlfn.XLOOKUP(B54,'Cost Schedule'!$B$104:$B$187,'Cost Schedule'!$C$104:$C$187)</f>
        <v>205000</v>
      </c>
      <c r="F54" s="94"/>
      <c r="G54" s="59">
        <f t="shared" si="15"/>
        <v>205000</v>
      </c>
      <c r="H54" s="37" t="str">
        <f t="shared" si="13"/>
        <v>well</v>
      </c>
      <c r="I54" s="60">
        <f t="shared" si="14"/>
        <v>0</v>
      </c>
      <c r="J54" s="97"/>
    </row>
    <row r="55" spans="1:10" ht="13">
      <c r="A55" s="61"/>
      <c r="B55" s="99" t="s">
        <v>595</v>
      </c>
      <c r="C55" s="92"/>
      <c r="D55" s="37" t="s">
        <v>76</v>
      </c>
      <c r="E55" s="58">
        <f>_xlfn.XLOOKUP(B55,'Cost Schedule'!$B$104:$B$187,'Cost Schedule'!$C$104:$C$187)</f>
        <v>205000</v>
      </c>
      <c r="F55" s="94"/>
      <c r="G55" s="59">
        <f t="shared" si="15"/>
        <v>205000</v>
      </c>
      <c r="H55" s="37" t="str">
        <f t="shared" si="13"/>
        <v>well</v>
      </c>
      <c r="I55" s="60">
        <f t="shared" si="14"/>
        <v>0</v>
      </c>
      <c r="J55" s="97"/>
    </row>
    <row r="56" spans="1:10" ht="13">
      <c r="A56" s="61"/>
      <c r="B56" s="99" t="s">
        <v>595</v>
      </c>
      <c r="C56" s="92"/>
      <c r="D56" s="37" t="s">
        <v>76</v>
      </c>
      <c r="E56" s="58">
        <f>_xlfn.XLOOKUP(B56,'Cost Schedule'!$B$104:$B$187,'Cost Schedule'!$C$104:$C$187)</f>
        <v>205000</v>
      </c>
      <c r="F56" s="94"/>
      <c r="G56" s="59">
        <f t="shared" si="15"/>
        <v>205000</v>
      </c>
      <c r="H56" s="37" t="str">
        <f t="shared" si="13"/>
        <v>well</v>
      </c>
      <c r="I56" s="60">
        <f t="shared" si="14"/>
        <v>0</v>
      </c>
      <c r="J56" s="97"/>
    </row>
    <row r="57" spans="1:10" ht="13">
      <c r="A57" s="61"/>
      <c r="B57" s="99" t="s">
        <v>595</v>
      </c>
      <c r="C57" s="92"/>
      <c r="D57" s="37" t="s">
        <v>76</v>
      </c>
      <c r="E57" s="58">
        <f>_xlfn.XLOOKUP(B57,'Cost Schedule'!$B$104:$B$187,'Cost Schedule'!$C$104:$C$187)</f>
        <v>205000</v>
      </c>
      <c r="F57" s="94"/>
      <c r="G57" s="59">
        <f t="shared" si="15"/>
        <v>205000</v>
      </c>
      <c r="H57" s="37" t="str">
        <f t="shared" si="13"/>
        <v>well</v>
      </c>
      <c r="I57" s="60">
        <f t="shared" si="14"/>
        <v>0</v>
      </c>
      <c r="J57" s="97"/>
    </row>
    <row r="58" spans="1:10" ht="13">
      <c r="A58" s="61"/>
      <c r="B58" s="99" t="s">
        <v>595</v>
      </c>
      <c r="C58" s="92"/>
      <c r="D58" s="37" t="s">
        <v>76</v>
      </c>
      <c r="E58" s="58">
        <f>_xlfn.XLOOKUP(B58,'Cost Schedule'!$B$104:$B$187,'Cost Schedule'!$C$104:$C$187)</f>
        <v>205000</v>
      </c>
      <c r="F58" s="94"/>
      <c r="G58" s="59">
        <f t="shared" si="15"/>
        <v>205000</v>
      </c>
      <c r="H58" s="37" t="str">
        <f t="shared" si="13"/>
        <v>well</v>
      </c>
      <c r="I58" s="60">
        <f t="shared" si="14"/>
        <v>0</v>
      </c>
      <c r="J58" s="97"/>
    </row>
    <row r="59" spans="1:10" ht="13">
      <c r="A59" s="61"/>
      <c r="B59" s="99" t="s">
        <v>595</v>
      </c>
      <c r="C59" s="92"/>
      <c r="D59" s="37" t="s">
        <v>76</v>
      </c>
      <c r="E59" s="58">
        <f>_xlfn.XLOOKUP(B59,'Cost Schedule'!$B$104:$B$187,'Cost Schedule'!$C$104:$C$187)</f>
        <v>205000</v>
      </c>
      <c r="F59" s="94"/>
      <c r="G59" s="59">
        <f t="shared" si="15"/>
        <v>205000</v>
      </c>
      <c r="H59" s="37" t="str">
        <f t="shared" si="13"/>
        <v>well</v>
      </c>
      <c r="I59" s="60">
        <f t="shared" si="14"/>
        <v>0</v>
      </c>
      <c r="J59" s="97"/>
    </row>
    <row r="60" spans="1:10" ht="13">
      <c r="A60" s="61"/>
      <c r="B60" s="99" t="s">
        <v>595</v>
      </c>
      <c r="C60" s="92"/>
      <c r="D60" s="37" t="s">
        <v>76</v>
      </c>
      <c r="E60" s="58">
        <f>_xlfn.XLOOKUP(B60,'Cost Schedule'!$B$104:$B$187,'Cost Schedule'!$C$104:$C$187)</f>
        <v>205000</v>
      </c>
      <c r="F60" s="94"/>
      <c r="G60" s="59">
        <f t="shared" si="15"/>
        <v>205000</v>
      </c>
      <c r="H60" s="37" t="str">
        <f t="shared" si="13"/>
        <v>well</v>
      </c>
      <c r="I60" s="60">
        <f t="shared" si="14"/>
        <v>0</v>
      </c>
      <c r="J60" s="97"/>
    </row>
    <row r="61" spans="1:10" ht="13">
      <c r="A61" s="61"/>
      <c r="B61" s="99" t="s">
        <v>595</v>
      </c>
      <c r="C61" s="92"/>
      <c r="D61" s="37" t="s">
        <v>76</v>
      </c>
      <c r="E61" s="58">
        <f>_xlfn.XLOOKUP(B61,'Cost Schedule'!$B$104:$B$187,'Cost Schedule'!$C$104:$C$187)</f>
        <v>205000</v>
      </c>
      <c r="F61" s="94"/>
      <c r="G61" s="59">
        <f t="shared" si="15"/>
        <v>205000</v>
      </c>
      <c r="H61" s="37" t="str">
        <f t="shared" si="13"/>
        <v>well</v>
      </c>
      <c r="I61" s="60">
        <f t="shared" si="14"/>
        <v>0</v>
      </c>
      <c r="J61" s="97"/>
    </row>
    <row r="62" spans="1:10" ht="13">
      <c r="A62" s="61"/>
      <c r="B62" s="99" t="s">
        <v>596</v>
      </c>
      <c r="C62" s="92"/>
      <c r="D62" s="37" t="s">
        <v>76</v>
      </c>
      <c r="E62" s="58">
        <f>_xlfn.XLOOKUP(B62,'Cost Schedule'!$B$104:$B$187,'Cost Schedule'!$C$104:$C$187)</f>
        <v>1353000</v>
      </c>
      <c r="F62" s="94"/>
      <c r="G62" s="59">
        <f t="shared" si="15"/>
        <v>1353000</v>
      </c>
      <c r="H62" s="37" t="str">
        <f t="shared" si="13"/>
        <v>well</v>
      </c>
      <c r="I62" s="60">
        <f t="shared" si="14"/>
        <v>0</v>
      </c>
      <c r="J62" s="97"/>
    </row>
    <row r="63" spans="1:10" ht="13">
      <c r="A63" s="61"/>
      <c r="B63" s="50" t="s">
        <v>686</v>
      </c>
      <c r="C63" s="51"/>
      <c r="D63" s="51"/>
      <c r="E63" s="51"/>
      <c r="F63" s="51"/>
      <c r="G63" s="51"/>
      <c r="H63" s="51"/>
      <c r="I63" s="52">
        <f>SUBTOTAL(9,I64:I80)</f>
        <v>0</v>
      </c>
      <c r="J63" s="53"/>
    </row>
    <row r="64" spans="1:10" ht="13">
      <c r="A64" s="61"/>
      <c r="B64" s="70" t="str">
        <f>'Cost Schedule'!B72</f>
        <v>Buried gas decommissioning - purging (&lt; = 0.5 m diameter)</v>
      </c>
      <c r="C64" s="91"/>
      <c r="D64" s="37" t="s">
        <v>53</v>
      </c>
      <c r="E64" s="58">
        <f>'Cost Schedule'!C72</f>
        <v>270</v>
      </c>
      <c r="F64" s="94"/>
      <c r="G64" s="59">
        <f>IF(F64="",E64,F64)</f>
        <v>270</v>
      </c>
      <c r="H64" s="37" t="str">
        <f t="shared" ref="H64:H80" si="16">D64</f>
        <v>km</v>
      </c>
      <c r="I64" s="60">
        <f t="shared" ref="I64:I80" si="17">G64*C64</f>
        <v>0</v>
      </c>
      <c r="J64" s="97"/>
    </row>
    <row r="65" spans="1:10" ht="13">
      <c r="A65" s="61"/>
      <c r="B65" s="70" t="str">
        <f>'Cost Schedule'!B73</f>
        <v>Buried gas pipeline decommissioning - purging (&gt; 0.5 m diameter)</v>
      </c>
      <c r="C65" s="91"/>
      <c r="D65" s="37" t="s">
        <v>53</v>
      </c>
      <c r="E65" s="58">
        <f>'Cost Schedule'!C73</f>
        <v>610</v>
      </c>
      <c r="F65" s="94"/>
      <c r="G65" s="59">
        <f t="shared" ref="G65:G73" si="18">IF(F65="",E65,F65)</f>
        <v>610</v>
      </c>
      <c r="H65" s="37" t="str">
        <f t="shared" si="16"/>
        <v>km</v>
      </c>
      <c r="I65" s="60">
        <f t="shared" si="17"/>
        <v>0</v>
      </c>
      <c r="J65" s="97"/>
    </row>
    <row r="66" spans="1:10" ht="13">
      <c r="A66" s="61"/>
      <c r="B66" s="70" t="str">
        <f>'Cost Schedule'!B74</f>
        <v>Buried oil decommissioning - purging (&lt;= 100 mm diameter)</v>
      </c>
      <c r="C66" s="91"/>
      <c r="D66" s="37" t="s">
        <v>53</v>
      </c>
      <c r="E66" s="58">
        <f>'Cost Schedule'!C74</f>
        <v>4300</v>
      </c>
      <c r="F66" s="94"/>
      <c r="G66" s="59">
        <f t="shared" si="18"/>
        <v>4300</v>
      </c>
      <c r="H66" s="37" t="str">
        <f t="shared" si="16"/>
        <v>km</v>
      </c>
      <c r="I66" s="60">
        <f t="shared" si="17"/>
        <v>0</v>
      </c>
      <c r="J66" s="97"/>
    </row>
    <row r="67" spans="1:10" ht="13">
      <c r="A67" s="61"/>
      <c r="B67" s="70" t="str">
        <f>'Cost Schedule'!B75</f>
        <v>Buried oil decommissioning - purging (&gt; 100 mm, &lt;=250mm diameter)</v>
      </c>
      <c r="C67" s="91"/>
      <c r="D67" s="37" t="s">
        <v>53</v>
      </c>
      <c r="E67" s="58">
        <f>'Cost Schedule'!C75</f>
        <v>27000</v>
      </c>
      <c r="F67" s="94"/>
      <c r="G67" s="59">
        <f t="shared" si="18"/>
        <v>27000</v>
      </c>
      <c r="H67" s="37" t="str">
        <f t="shared" si="16"/>
        <v>km</v>
      </c>
      <c r="I67" s="60">
        <f t="shared" si="17"/>
        <v>0</v>
      </c>
      <c r="J67" s="97"/>
    </row>
    <row r="68" spans="1:10" ht="13">
      <c r="A68" s="61"/>
      <c r="B68" s="70" t="str">
        <f>'Cost Schedule'!B76</f>
        <v>Buried oil pipeline decommissioning - purging (&gt; 250 mm diameter)</v>
      </c>
      <c r="C68" s="91"/>
      <c r="D68" s="37" t="s">
        <v>53</v>
      </c>
      <c r="E68" s="58">
        <f>'Cost Schedule'!C76</f>
        <v>67000</v>
      </c>
      <c r="F68" s="94"/>
      <c r="G68" s="59">
        <f t="shared" si="18"/>
        <v>67000</v>
      </c>
      <c r="H68" s="37" t="str">
        <f t="shared" si="16"/>
        <v>km</v>
      </c>
      <c r="I68" s="60">
        <f t="shared" si="17"/>
        <v>0</v>
      </c>
      <c r="J68" s="97"/>
    </row>
    <row r="69" spans="1:10" ht="13">
      <c r="A69" s="61"/>
      <c r="B69" s="70" t="str">
        <f>'Cost Schedule'!B77</f>
        <v>Removal of buried pipelines</v>
      </c>
      <c r="C69" s="91"/>
      <c r="D69" s="37" t="s">
        <v>53</v>
      </c>
      <c r="E69" s="58">
        <f>'Cost Schedule'!C77</f>
        <v>36000</v>
      </c>
      <c r="F69" s="94"/>
      <c r="G69" s="59">
        <f t="shared" si="18"/>
        <v>36000</v>
      </c>
      <c r="H69" s="37" t="str">
        <f t="shared" si="16"/>
        <v>km</v>
      </c>
      <c r="I69" s="60">
        <f t="shared" si="17"/>
        <v>0</v>
      </c>
      <c r="J69" s="97"/>
    </row>
    <row r="70" spans="1:10" ht="13">
      <c r="A70" s="61"/>
      <c r="B70" s="70" t="str">
        <f>'Cost Schedule'!B78</f>
        <v>Removal of above ground pipe (gas)</v>
      </c>
      <c r="C70" s="91"/>
      <c r="D70" s="37" t="s">
        <v>53</v>
      </c>
      <c r="E70" s="58">
        <f>'Cost Schedule'!C78</f>
        <v>14000</v>
      </c>
      <c r="F70" s="94"/>
      <c r="G70" s="59">
        <f t="shared" si="18"/>
        <v>14000</v>
      </c>
      <c r="H70" s="37" t="str">
        <f t="shared" si="16"/>
        <v>km</v>
      </c>
      <c r="I70" s="60">
        <f t="shared" si="17"/>
        <v>0</v>
      </c>
      <c r="J70" s="97"/>
    </row>
    <row r="71" spans="1:10" ht="13">
      <c r="A71" s="61"/>
      <c r="B71" s="70" t="str">
        <f>'Cost Schedule'!B79</f>
        <v>Removal of above ground pipe (oil)</v>
      </c>
      <c r="C71" s="91"/>
      <c r="D71" s="37" t="s">
        <v>53</v>
      </c>
      <c r="E71" s="58">
        <f>'Cost Schedule'!C79</f>
        <v>17631.908838870339</v>
      </c>
      <c r="F71" s="94"/>
      <c r="G71" s="59">
        <f t="shared" si="18"/>
        <v>17631.908838870339</v>
      </c>
      <c r="H71" s="37" t="str">
        <f t="shared" si="16"/>
        <v>km</v>
      </c>
      <c r="I71" s="60">
        <f t="shared" si="17"/>
        <v>0</v>
      </c>
      <c r="J71" s="97"/>
    </row>
    <row r="72" spans="1:10" ht="13">
      <c r="A72" s="61"/>
      <c r="B72" s="70" t="str">
        <f>'Cost Schedule'!B80</f>
        <v>Removal of above ground pipe (water)</v>
      </c>
      <c r="C72" s="91"/>
      <c r="D72" s="37" t="s">
        <v>53</v>
      </c>
      <c r="E72" s="58">
        <f>'Cost Schedule'!C80</f>
        <v>13394.164658785081</v>
      </c>
      <c r="F72" s="94"/>
      <c r="G72" s="59">
        <f t="shared" si="18"/>
        <v>13394.164658785081</v>
      </c>
      <c r="H72" s="37" t="str">
        <f t="shared" si="16"/>
        <v>km</v>
      </c>
      <c r="I72" s="60">
        <f t="shared" si="17"/>
        <v>0</v>
      </c>
      <c r="J72" s="97"/>
    </row>
    <row r="73" spans="1:10" ht="13">
      <c r="A73" s="61"/>
      <c r="B73" s="70" t="str">
        <f>'Cost Schedule'!B81</f>
        <v>Inspection only</v>
      </c>
      <c r="C73" s="91"/>
      <c r="D73" s="37" t="str">
        <f>'Cost Schedule'!D81</f>
        <v>ha</v>
      </c>
      <c r="E73" s="58">
        <f>'Cost Schedule'!C81</f>
        <v>600</v>
      </c>
      <c r="F73" s="94"/>
      <c r="G73" s="59">
        <f t="shared" si="18"/>
        <v>600</v>
      </c>
      <c r="H73" s="37" t="str">
        <f t="shared" si="16"/>
        <v>ha</v>
      </c>
      <c r="I73" s="60">
        <f t="shared" si="17"/>
        <v>0</v>
      </c>
      <c r="J73" s="97"/>
    </row>
    <row r="74" spans="1:10" ht="13">
      <c r="A74" s="61"/>
      <c r="B74" s="70" t="str">
        <f>'Cost Schedule'!B82</f>
        <v>Final rehabilitation</v>
      </c>
      <c r="C74" s="91"/>
      <c r="D74" s="37" t="str">
        <f>'Cost Schedule'!D82</f>
        <v>ha</v>
      </c>
      <c r="E74" s="58">
        <f>'Cost Schedule'!C82</f>
        <v>8700</v>
      </c>
      <c r="F74" s="94"/>
      <c r="G74" s="59">
        <f t="shared" ref="G74:G75" si="19">IF(F74="",E74,F74)</f>
        <v>8700</v>
      </c>
      <c r="H74" s="37" t="str">
        <f t="shared" si="16"/>
        <v>ha</v>
      </c>
      <c r="I74" s="60">
        <f t="shared" si="17"/>
        <v>0</v>
      </c>
      <c r="J74" s="97"/>
    </row>
    <row r="75" spans="1:10" ht="13">
      <c r="A75" s="61"/>
      <c r="B75" s="70" t="str">
        <f>'Cost Schedule'!B83</f>
        <v>Full rehabilitation</v>
      </c>
      <c r="C75" s="91"/>
      <c r="D75" s="37" t="str">
        <f>'Cost Schedule'!D83</f>
        <v>ha</v>
      </c>
      <c r="E75" s="58">
        <f>'Cost Schedule'!C83</f>
        <v>10600</v>
      </c>
      <c r="F75" s="94"/>
      <c r="G75" s="59">
        <f t="shared" si="19"/>
        <v>10600</v>
      </c>
      <c r="H75" s="37" t="str">
        <f t="shared" si="16"/>
        <v>ha</v>
      </c>
      <c r="I75" s="60">
        <f t="shared" si="17"/>
        <v>0</v>
      </c>
      <c r="J75" s="97"/>
    </row>
    <row r="76" spans="1:10" ht="13">
      <c r="A76" s="61"/>
      <c r="B76" s="70" t="str">
        <f>'Cost Schedule'!B84</f>
        <v>Crossings</v>
      </c>
      <c r="C76" s="91"/>
      <c r="D76" s="37" t="str">
        <f>'Cost Schedule'!D84</f>
        <v>crossing</v>
      </c>
      <c r="E76" s="58">
        <f>'Cost Schedule'!C84</f>
        <v>16200</v>
      </c>
      <c r="F76" s="94"/>
      <c r="G76" s="59">
        <f t="shared" ref="G76" si="20">IF(F76="",E76,F76)</f>
        <v>16200</v>
      </c>
      <c r="H76" s="37" t="str">
        <f t="shared" si="16"/>
        <v>crossing</v>
      </c>
      <c r="I76" s="60">
        <f t="shared" si="17"/>
        <v>0</v>
      </c>
      <c r="J76" s="97"/>
    </row>
    <row r="77" spans="1:10" ht="13">
      <c r="A77" s="61"/>
      <c r="B77" s="70" t="str">
        <f>'Cost Schedule'!B85</f>
        <v>Drains and risers</v>
      </c>
      <c r="C77" s="91"/>
      <c r="D77" s="37" t="str">
        <f>'Cost Schedule'!D85</f>
        <v>structure</v>
      </c>
      <c r="E77" s="58">
        <f>'Cost Schedule'!C85</f>
        <v>1000</v>
      </c>
      <c r="F77" s="94"/>
      <c r="G77" s="59">
        <f t="shared" ref="G77" si="21">IF(F77="",E77,F77)</f>
        <v>1000</v>
      </c>
      <c r="H77" s="37" t="str">
        <f t="shared" si="16"/>
        <v>structure</v>
      </c>
      <c r="I77" s="60">
        <f t="shared" si="17"/>
        <v>0</v>
      </c>
      <c r="J77" s="100"/>
    </row>
    <row r="78" spans="1:10" ht="13">
      <c r="A78" s="61"/>
      <c r="B78" s="70" t="str">
        <f>'Cost Schedule'!B86</f>
        <v>Meter and valve stations</v>
      </c>
      <c r="C78" s="91"/>
      <c r="D78" s="37" t="str">
        <f>'Cost Schedule'!D86</f>
        <v>station</v>
      </c>
      <c r="E78" s="58">
        <f>'Cost Schedule'!C86</f>
        <v>40000</v>
      </c>
      <c r="F78" s="94"/>
      <c r="G78" s="59">
        <f t="shared" ref="G78:G80" si="22">IF(F78="",E78,F78)</f>
        <v>40000</v>
      </c>
      <c r="H78" s="37" t="str">
        <f t="shared" si="16"/>
        <v>station</v>
      </c>
      <c r="I78" s="60">
        <f t="shared" si="17"/>
        <v>0</v>
      </c>
      <c r="J78" s="97"/>
    </row>
    <row r="79" spans="1:10" ht="13">
      <c r="A79" s="61"/>
      <c r="B79" s="70" t="str">
        <f>'Cost Schedule'!B87</f>
        <v>Pig launchers and receivers</v>
      </c>
      <c r="C79" s="91"/>
      <c r="D79" s="37" t="str">
        <f>'Cost Schedule'!D87</f>
        <v>station</v>
      </c>
      <c r="E79" s="58">
        <f>'Cost Schedule'!C87</f>
        <v>14000</v>
      </c>
      <c r="F79" s="94"/>
      <c r="G79" s="59">
        <f t="shared" si="22"/>
        <v>14000</v>
      </c>
      <c r="H79" s="37" t="str">
        <f t="shared" si="16"/>
        <v>station</v>
      </c>
      <c r="I79" s="60">
        <f t="shared" si="17"/>
        <v>0</v>
      </c>
      <c r="J79" s="97"/>
    </row>
    <row r="80" spans="1:10" ht="13">
      <c r="A80" s="61"/>
      <c r="B80" s="70" t="str">
        <f>'Cost Schedule'!B88</f>
        <v>Hub facility</v>
      </c>
      <c r="C80" s="91"/>
      <c r="D80" s="37" t="str">
        <f>'Cost Schedule'!D88</f>
        <v>m2</v>
      </c>
      <c r="E80" s="58">
        <f>'Cost Schedule'!C88</f>
        <v>200</v>
      </c>
      <c r="F80" s="94"/>
      <c r="G80" s="59">
        <f t="shared" si="22"/>
        <v>200</v>
      </c>
      <c r="H80" s="37" t="str">
        <f t="shared" si="16"/>
        <v>m2</v>
      </c>
      <c r="I80" s="60">
        <f t="shared" si="17"/>
        <v>0</v>
      </c>
      <c r="J80" s="97"/>
    </row>
    <row r="81" spans="1:10" ht="13">
      <c r="A81" s="61"/>
      <c r="B81" s="50" t="s">
        <v>687</v>
      </c>
      <c r="C81" s="51"/>
      <c r="D81" s="51"/>
      <c r="E81" s="51"/>
      <c r="F81" s="51"/>
      <c r="G81" s="51"/>
      <c r="H81" s="51"/>
      <c r="I81" s="52">
        <f>SUBTOTAL(9,I82:I86)</f>
        <v>0</v>
      </c>
      <c r="J81" s="53"/>
    </row>
    <row r="82" spans="1:10" ht="13">
      <c r="A82" s="61"/>
      <c r="B82" s="70" t="str">
        <f>'Cost Schedule'!B17</f>
        <v>Standalone gas compressor</v>
      </c>
      <c r="C82" s="92"/>
      <c r="D82" s="37" t="str">
        <f>'Cost Schedule'!D17</f>
        <v>compressor</v>
      </c>
      <c r="E82" s="58">
        <f>'Cost Schedule'!C17</f>
        <v>12400</v>
      </c>
      <c r="F82" s="94"/>
      <c r="G82" s="59">
        <f>IF(F82="",E82,F82)</f>
        <v>12400</v>
      </c>
      <c r="H82" s="37" t="str">
        <f>D82</f>
        <v>compressor</v>
      </c>
      <c r="I82" s="60">
        <f>G82*C82</f>
        <v>0</v>
      </c>
      <c r="J82" s="97"/>
    </row>
    <row r="83" spans="1:10" ht="13">
      <c r="A83" s="61"/>
      <c r="B83" s="70" t="str">
        <f>'Cost Schedule'!B18</f>
        <v>Gas processing facility</v>
      </c>
      <c r="C83" s="92"/>
      <c r="D83" s="37" t="str">
        <f>'Cost Schedule'!D18</f>
        <v>TJ/day</v>
      </c>
      <c r="E83" s="58">
        <f>'Cost Schedule'!C18</f>
        <v>25000</v>
      </c>
      <c r="F83" s="94"/>
      <c r="G83" s="59">
        <f t="shared" ref="G83" si="23">IF(F83="",E83,F83)</f>
        <v>25000</v>
      </c>
      <c r="H83" s="37" t="str">
        <f>D83</f>
        <v>TJ/day</v>
      </c>
      <c r="I83" s="60">
        <f>G83*C83</f>
        <v>0</v>
      </c>
      <c r="J83" s="97"/>
    </row>
    <row r="84" spans="1:10" ht="13">
      <c r="A84" s="61"/>
      <c r="B84" s="70" t="str">
        <f>'Cost Schedule'!B19</f>
        <v>Oil storage facility</v>
      </c>
      <c r="C84" s="92"/>
      <c r="D84" s="37" t="str">
        <f>'Cost Schedule'!D19</f>
        <v>kL</v>
      </c>
      <c r="E84" s="58">
        <f>'Cost Schedule'!C19</f>
        <v>1000</v>
      </c>
      <c r="F84" s="94"/>
      <c r="G84" s="59">
        <f t="shared" ref="G84:G85" si="24">IF(F84="",E84,F84)</f>
        <v>1000</v>
      </c>
      <c r="H84" s="37" t="str">
        <f>D84</f>
        <v>kL</v>
      </c>
      <c r="I84" s="60">
        <f>G84*C84</f>
        <v>0</v>
      </c>
      <c r="J84" s="97"/>
    </row>
    <row r="85" spans="1:10" ht="13">
      <c r="A85" s="61"/>
      <c r="B85" s="70" t="str">
        <f>'Cost Schedule'!B20</f>
        <v>Water treatment plant</v>
      </c>
      <c r="C85" s="92"/>
      <c r="D85" s="37" t="str">
        <f>'Cost Schedule'!D20</f>
        <v>ML/day</v>
      </c>
      <c r="E85" s="58">
        <f>'Cost Schedule'!C20</f>
        <v>64000</v>
      </c>
      <c r="F85" s="94"/>
      <c r="G85" s="59">
        <f t="shared" si="24"/>
        <v>64000</v>
      </c>
      <c r="H85" s="37" t="str">
        <f>D85</f>
        <v>ML/day</v>
      </c>
      <c r="I85" s="60">
        <f>G85*C85</f>
        <v>0</v>
      </c>
      <c r="J85" s="97"/>
    </row>
    <row r="86" spans="1:10" ht="13">
      <c r="A86" s="61"/>
      <c r="B86" s="70" t="str">
        <f>'Cost Schedule'!B21</f>
        <v>Water transfer station</v>
      </c>
      <c r="C86" s="92"/>
      <c r="D86" s="37" t="str">
        <f>'Cost Schedule'!D21</f>
        <v>kL</v>
      </c>
      <c r="E86" s="58">
        <f>'Cost Schedule'!C21</f>
        <v>20</v>
      </c>
      <c r="F86" s="94"/>
      <c r="G86" s="59">
        <f t="shared" ref="G86" si="25">IF(F86="",E86,F86)</f>
        <v>20</v>
      </c>
      <c r="H86" s="37" t="str">
        <f>D86</f>
        <v>kL</v>
      </c>
      <c r="I86" s="60">
        <f>G86*C86</f>
        <v>0</v>
      </c>
      <c r="J86" s="96"/>
    </row>
    <row r="87" spans="1:10" ht="13">
      <c r="A87" s="61"/>
      <c r="B87" s="50" t="s">
        <v>739</v>
      </c>
      <c r="C87" s="51"/>
      <c r="D87" s="51"/>
      <c r="E87" s="51"/>
      <c r="F87" s="51"/>
      <c r="G87" s="51"/>
      <c r="H87" s="51"/>
      <c r="I87" s="52">
        <f>SUBTOTAL(9,I88:I100)</f>
        <v>0</v>
      </c>
      <c r="J87" s="53"/>
    </row>
    <row r="88" spans="1:10" ht="13">
      <c r="A88" s="61"/>
      <c r="B88" s="71" t="str">
        <f>'Cost Schedule'!B47</f>
        <v>Maintenance of rehabilitated areas</v>
      </c>
      <c r="C88" s="91"/>
      <c r="D88" s="37" t="str">
        <f>'Cost Schedule'!D47</f>
        <v>ha</v>
      </c>
      <c r="E88" s="58">
        <f>'Cost Schedule'!C47</f>
        <v>530</v>
      </c>
      <c r="F88" s="94"/>
      <c r="G88" s="65">
        <f t="shared" ref="G88" si="26">IF(F88="",E88,F88)</f>
        <v>530</v>
      </c>
      <c r="H88" s="37" t="str">
        <f>'Cost Schedule'!D47</f>
        <v>ha</v>
      </c>
      <c r="I88" s="60">
        <f t="shared" ref="I88:I97" si="27">G88*C88</f>
        <v>0</v>
      </c>
      <c r="J88" s="96" t="s">
        <v>89</v>
      </c>
    </row>
    <row r="89" spans="1:10" ht="13">
      <c r="A89" s="61"/>
      <c r="B89" s="71" t="str">
        <f>'Cost Schedule'!B48</f>
        <v>Rehabilitation repair</v>
      </c>
      <c r="C89" s="91"/>
      <c r="D89" s="37" t="str">
        <f>'Cost Schedule'!D48</f>
        <v>ha</v>
      </c>
      <c r="E89" s="58">
        <f>'Cost Schedule'!C48</f>
        <v>2100</v>
      </c>
      <c r="F89" s="94"/>
      <c r="G89" s="65">
        <f t="shared" ref="G89:G97" si="28">IF(F89="",E89,F89)</f>
        <v>2100</v>
      </c>
      <c r="H89" s="37" t="str">
        <f>'Cost Schedule'!D48</f>
        <v>ha</v>
      </c>
      <c r="I89" s="60">
        <f t="shared" si="27"/>
        <v>0</v>
      </c>
      <c r="J89" s="96"/>
    </row>
    <row r="90" spans="1:10" ht="13">
      <c r="A90" s="61"/>
      <c r="B90" s="71" t="str">
        <f>'Cost Schedule'!B49</f>
        <v>Pest / land management on buffer lands, non-disturbed, and rehabilitated areas</v>
      </c>
      <c r="C90" s="91"/>
      <c r="D90" s="37" t="str">
        <f>'Cost Schedule'!D49</f>
        <v>ha</v>
      </c>
      <c r="E90" s="58">
        <f>'Cost Schedule'!C49</f>
        <v>450</v>
      </c>
      <c r="F90" s="94"/>
      <c r="G90" s="65">
        <f t="shared" si="28"/>
        <v>450</v>
      </c>
      <c r="H90" s="37" t="str">
        <f>'Cost Schedule'!D49</f>
        <v>ha</v>
      </c>
      <c r="I90" s="60">
        <f t="shared" si="27"/>
        <v>0</v>
      </c>
      <c r="J90" s="96"/>
    </row>
    <row r="91" spans="1:10" ht="13">
      <c r="A91" s="61"/>
      <c r="B91" s="71" t="str">
        <f>'Cost Schedule'!B50</f>
        <v>Growth media source, supply and place</v>
      </c>
      <c r="C91" s="91"/>
      <c r="D91" s="37" t="str">
        <f>'Cost Schedule'!D50</f>
        <v>tonne</v>
      </c>
      <c r="E91" s="58">
        <f>'Cost Schedule'!C50</f>
        <v>180</v>
      </c>
      <c r="F91" s="94"/>
      <c r="G91" s="65">
        <f t="shared" si="28"/>
        <v>180</v>
      </c>
      <c r="H91" s="37" t="str">
        <f>'Cost Schedule'!D50</f>
        <v>tonne</v>
      </c>
      <c r="I91" s="60">
        <f t="shared" si="27"/>
        <v>0</v>
      </c>
      <c r="J91" s="96"/>
    </row>
    <row r="92" spans="1:10" ht="13">
      <c r="A92" s="61"/>
      <c r="B92" s="71" t="str">
        <f>'Cost Schedule'!B51</f>
        <v>Ameliorant source, supply and place</v>
      </c>
      <c r="C92" s="91"/>
      <c r="D92" s="37" t="str">
        <f>'Cost Schedule'!D51</f>
        <v>ha</v>
      </c>
      <c r="E92" s="58">
        <f>'Cost Schedule'!C51</f>
        <v>3200</v>
      </c>
      <c r="F92" s="94"/>
      <c r="G92" s="65">
        <f t="shared" si="28"/>
        <v>3200</v>
      </c>
      <c r="H92" s="37" t="str">
        <f>'Cost Schedule'!D51</f>
        <v>ha</v>
      </c>
      <c r="I92" s="60">
        <f t="shared" si="27"/>
        <v>0</v>
      </c>
      <c r="J92" s="97"/>
    </row>
    <row r="93" spans="1:10" ht="13">
      <c r="A93" s="61"/>
      <c r="B93" s="71" t="str">
        <f>'Cost Schedule'!B52</f>
        <v>Revegetation</v>
      </c>
      <c r="C93" s="91"/>
      <c r="D93" s="37" t="str">
        <f>'Cost Schedule'!D52</f>
        <v>ha</v>
      </c>
      <c r="E93" s="58">
        <f>'Cost Schedule'!C52</f>
        <v>2000</v>
      </c>
      <c r="F93" s="94"/>
      <c r="G93" s="65">
        <f t="shared" si="28"/>
        <v>2000</v>
      </c>
      <c r="H93" s="37" t="str">
        <f>'Cost Schedule'!D52</f>
        <v>ha</v>
      </c>
      <c r="I93" s="60">
        <f t="shared" si="27"/>
        <v>0</v>
      </c>
      <c r="J93" s="97"/>
    </row>
    <row r="94" spans="1:10" ht="13">
      <c r="A94" s="61"/>
      <c r="B94" s="71" t="str">
        <f>'Cost Schedule'!B53</f>
        <v>Preliminary site investigation</v>
      </c>
      <c r="C94" s="92"/>
      <c r="D94" s="37" t="str">
        <f>'Cost Schedule'!D53</f>
        <v>investigation</v>
      </c>
      <c r="E94" s="58">
        <f>'Cost Schedule'!C53</f>
        <v>10000</v>
      </c>
      <c r="F94" s="94"/>
      <c r="G94" s="65">
        <f t="shared" si="28"/>
        <v>10000</v>
      </c>
      <c r="H94" s="37" t="str">
        <f>'Cost Schedule'!D53</f>
        <v>investigation</v>
      </c>
      <c r="I94" s="60">
        <f t="shared" si="27"/>
        <v>0</v>
      </c>
      <c r="J94" s="97"/>
    </row>
    <row r="95" spans="1:10" ht="13">
      <c r="A95" s="61"/>
      <c r="B95" s="71" t="str">
        <f>'Cost Schedule'!B54</f>
        <v>Intrusive land investigation</v>
      </c>
      <c r="C95" s="92"/>
      <c r="D95" s="37" t="str">
        <f>'Cost Schedule'!D54</f>
        <v>investigation</v>
      </c>
      <c r="E95" s="58">
        <f>'Cost Schedule'!C54</f>
        <v>37000</v>
      </c>
      <c r="F95" s="94"/>
      <c r="G95" s="65">
        <f t="shared" si="28"/>
        <v>37000</v>
      </c>
      <c r="H95" s="37" t="str">
        <f>'Cost Schedule'!D54</f>
        <v>investigation</v>
      </c>
      <c r="I95" s="60">
        <f t="shared" si="27"/>
        <v>0</v>
      </c>
      <c r="J95" s="96"/>
    </row>
    <row r="96" spans="1:10" ht="13">
      <c r="A96" s="61"/>
      <c r="B96" s="71" t="str">
        <f>'Cost Schedule'!B55</f>
        <v>Soil bioremediation</v>
      </c>
      <c r="C96" s="92"/>
      <c r="D96" s="37" t="str">
        <f>'Cost Schedule'!D55</f>
        <v>tonne</v>
      </c>
      <c r="E96" s="58">
        <f>'Cost Schedule'!C55</f>
        <v>80</v>
      </c>
      <c r="F96" s="94"/>
      <c r="G96" s="65">
        <f t="shared" si="28"/>
        <v>80</v>
      </c>
      <c r="H96" s="37" t="str">
        <f>'Cost Schedule'!D55</f>
        <v>tonne</v>
      </c>
      <c r="I96" s="60">
        <f t="shared" si="27"/>
        <v>0</v>
      </c>
      <c r="J96" s="96"/>
    </row>
    <row r="97" spans="1:10" ht="13">
      <c r="A97" s="61"/>
      <c r="B97" s="71" t="str">
        <f>'Cost Schedule'!B56</f>
        <v>Hydrocarbons and metals in soil</v>
      </c>
      <c r="C97" s="91"/>
      <c r="D97" s="37" t="str">
        <f>'Cost Schedule'!D56</f>
        <v>tonne</v>
      </c>
      <c r="E97" s="58">
        <f>'Cost Schedule'!C56</f>
        <v>420</v>
      </c>
      <c r="F97" s="94"/>
      <c r="G97" s="65">
        <f t="shared" si="28"/>
        <v>420</v>
      </c>
      <c r="H97" s="37" t="str">
        <f>'Cost Schedule'!D56</f>
        <v>tonne</v>
      </c>
      <c r="I97" s="60">
        <f t="shared" si="27"/>
        <v>0</v>
      </c>
      <c r="J97" s="97"/>
    </row>
    <row r="98" spans="1:10" ht="13">
      <c r="A98" s="61"/>
      <c r="B98" s="71" t="str">
        <f>'Cost Schedule'!B57</f>
        <v>Asbestos in soil</v>
      </c>
      <c r="C98" s="91"/>
      <c r="D98" s="37" t="str">
        <f>'Cost Schedule'!D57</f>
        <v>tonne</v>
      </c>
      <c r="E98" s="58">
        <f>'Cost Schedule'!C57</f>
        <v>420</v>
      </c>
      <c r="F98" s="94"/>
      <c r="G98" s="65">
        <f t="shared" ref="G98:G100" si="29">IF(F98="",E98,F98)</f>
        <v>420</v>
      </c>
      <c r="H98" s="37" t="str">
        <f>'Cost Schedule'!D57</f>
        <v>tonne</v>
      </c>
      <c r="I98" s="60">
        <f t="shared" ref="I98:I100" si="30">G98*C98</f>
        <v>0</v>
      </c>
      <c r="J98" s="101"/>
    </row>
    <row r="99" spans="1:10" ht="13">
      <c r="A99" s="61"/>
      <c r="B99" s="71" t="str">
        <f>'Cost Schedule'!B58</f>
        <v>Asbestos - from buildings</v>
      </c>
      <c r="C99" s="91"/>
      <c r="D99" s="37" t="str">
        <f>'Cost Schedule'!D58</f>
        <v>m2</v>
      </c>
      <c r="E99" s="58">
        <f>'Cost Schedule'!C58</f>
        <v>100</v>
      </c>
      <c r="F99" s="94"/>
      <c r="G99" s="65">
        <f t="shared" si="29"/>
        <v>100</v>
      </c>
      <c r="H99" s="37" t="str">
        <f>'Cost Schedule'!D58</f>
        <v>m2</v>
      </c>
      <c r="I99" s="60">
        <f t="shared" si="30"/>
        <v>0</v>
      </c>
      <c r="J99" s="101"/>
    </row>
    <row r="100" spans="1:10" ht="13">
      <c r="A100" s="61"/>
      <c r="B100" s="71" t="str">
        <f>'Cost Schedule'!B59</f>
        <v>Asbestos - from pipe</v>
      </c>
      <c r="C100" s="91"/>
      <c r="D100" s="37" t="str">
        <f>'Cost Schedule'!D59</f>
        <v>m</v>
      </c>
      <c r="E100" s="58">
        <f>'Cost Schedule'!C59</f>
        <v>70</v>
      </c>
      <c r="F100" s="94"/>
      <c r="G100" s="65">
        <f t="shared" si="29"/>
        <v>70</v>
      </c>
      <c r="H100" s="37" t="str">
        <f>'Cost Schedule'!D59</f>
        <v>m</v>
      </c>
      <c r="I100" s="60">
        <f t="shared" si="30"/>
        <v>0</v>
      </c>
      <c r="J100" s="101"/>
    </row>
    <row r="101" spans="1:10" ht="13">
      <c r="A101" s="61"/>
      <c r="B101" s="50" t="s">
        <v>688</v>
      </c>
      <c r="C101" s="51"/>
      <c r="D101" s="51"/>
      <c r="E101" s="51"/>
      <c r="F101" s="51"/>
      <c r="G101" s="51"/>
      <c r="H101" s="51"/>
      <c r="I101" s="52">
        <f>SUBTOTAL(9,I102:I109)</f>
        <v>0</v>
      </c>
      <c r="J101" s="53"/>
    </row>
    <row r="102" spans="1:10" ht="13">
      <c r="A102" s="61"/>
      <c r="B102" s="72" t="str">
        <f>'Cost Schedule'!B62</f>
        <v xml:space="preserve">Mobilisation &amp; Demobilisation (Distance to site &lt;= 150 km) Small fleet </v>
      </c>
      <c r="C102" s="92"/>
      <c r="D102" s="37" t="s">
        <v>99</v>
      </c>
      <c r="E102" s="58">
        <f>'Cost Schedule'!C62</f>
        <v>41000</v>
      </c>
      <c r="F102" s="94"/>
      <c r="G102" s="59">
        <f t="shared" ref="G102:G109" si="31">IF(F102="",E102,F102)</f>
        <v>41000</v>
      </c>
      <c r="H102" s="37" t="str">
        <f t="shared" ref="H102:H109" si="32">D102</f>
        <v>mobe</v>
      </c>
      <c r="I102" s="60">
        <f t="shared" ref="I102:I109" si="33">G102*C102</f>
        <v>0</v>
      </c>
      <c r="J102" s="97"/>
    </row>
    <row r="103" spans="1:10" ht="13">
      <c r="A103" s="61"/>
      <c r="B103" s="72" t="str">
        <f>'Cost Schedule'!B63</f>
        <v>Mobilisation &amp; Demobilisation (Distance to site &gt; 150 to &lt;= 500 km) Small fleet</v>
      </c>
      <c r="C103" s="92"/>
      <c r="D103" s="37" t="s">
        <v>99</v>
      </c>
      <c r="E103" s="58">
        <f>'Cost Schedule'!C63</f>
        <v>200000</v>
      </c>
      <c r="F103" s="94"/>
      <c r="G103" s="59">
        <f t="shared" si="31"/>
        <v>200000</v>
      </c>
      <c r="H103" s="37" t="str">
        <f t="shared" si="32"/>
        <v>mobe</v>
      </c>
      <c r="I103" s="60">
        <f t="shared" si="33"/>
        <v>0</v>
      </c>
      <c r="J103" s="97"/>
    </row>
    <row r="104" spans="1:10" ht="13">
      <c r="A104" s="61"/>
      <c r="B104" s="72" t="str">
        <f>'Cost Schedule'!B64</f>
        <v>Mobilisation &amp; Demobilisation (Distance to site &gt; 500 km to &lt;= 1000 km ) Small fleet</v>
      </c>
      <c r="C104" s="92"/>
      <c r="D104" s="37" t="s">
        <v>99</v>
      </c>
      <c r="E104" s="58">
        <f>'Cost Schedule'!C64</f>
        <v>750000</v>
      </c>
      <c r="F104" s="94"/>
      <c r="G104" s="59">
        <f t="shared" si="31"/>
        <v>750000</v>
      </c>
      <c r="H104" s="37" t="str">
        <f t="shared" si="32"/>
        <v>mobe</v>
      </c>
      <c r="I104" s="60">
        <f t="shared" si="33"/>
        <v>0</v>
      </c>
      <c r="J104" s="97"/>
    </row>
    <row r="105" spans="1:10" ht="13">
      <c r="A105" s="61"/>
      <c r="B105" s="72" t="str">
        <f>'Cost Schedule'!B65</f>
        <v>Mobilisation &amp; Demobilisation (Distance to site &gt; 1000 km) Small fleet</v>
      </c>
      <c r="C105" s="92"/>
      <c r="D105" s="37" t="s">
        <v>99</v>
      </c>
      <c r="E105" s="58">
        <f>'Cost Schedule'!C65</f>
        <v>1140000</v>
      </c>
      <c r="F105" s="94"/>
      <c r="G105" s="59">
        <f t="shared" si="31"/>
        <v>1140000</v>
      </c>
      <c r="H105" s="37" t="str">
        <f t="shared" si="32"/>
        <v>mobe</v>
      </c>
      <c r="I105" s="60">
        <f t="shared" si="33"/>
        <v>0</v>
      </c>
      <c r="J105" s="97"/>
    </row>
    <row r="106" spans="1:10" ht="13">
      <c r="A106" s="61"/>
      <c r="B106" s="72" t="str">
        <f>'Cost Schedule'!B66</f>
        <v>Mobilisation &amp; Demobilisation (Distance to site &lt;= 150 km) Large fleet</v>
      </c>
      <c r="C106" s="92"/>
      <c r="D106" s="37" t="s">
        <v>99</v>
      </c>
      <c r="E106" s="58">
        <f>'Cost Schedule'!C66</f>
        <v>95000</v>
      </c>
      <c r="F106" s="94"/>
      <c r="G106" s="59">
        <f t="shared" si="31"/>
        <v>95000</v>
      </c>
      <c r="H106" s="37" t="str">
        <f t="shared" si="32"/>
        <v>mobe</v>
      </c>
      <c r="I106" s="60">
        <f t="shared" si="33"/>
        <v>0</v>
      </c>
      <c r="J106" s="97"/>
    </row>
    <row r="107" spans="1:10" ht="13">
      <c r="A107" s="61"/>
      <c r="B107" s="72" t="str">
        <f>'Cost Schedule'!B67</f>
        <v>Mobilisation &amp; Demobilisation (Distance to site &gt; 150 to &lt;= 500 km) Large fleet</v>
      </c>
      <c r="C107" s="92"/>
      <c r="D107" s="37" t="s">
        <v>99</v>
      </c>
      <c r="E107" s="58">
        <f>'Cost Schedule'!C67</f>
        <v>470000</v>
      </c>
      <c r="F107" s="94"/>
      <c r="G107" s="59">
        <f t="shared" si="31"/>
        <v>470000</v>
      </c>
      <c r="H107" s="37" t="str">
        <f t="shared" si="32"/>
        <v>mobe</v>
      </c>
      <c r="I107" s="60">
        <f t="shared" si="33"/>
        <v>0</v>
      </c>
      <c r="J107" s="97"/>
    </row>
    <row r="108" spans="1:10" ht="13">
      <c r="A108" s="61"/>
      <c r="B108" s="72" t="str">
        <f>'Cost Schedule'!B68</f>
        <v>Mobilisation &amp; Demobilisation (Distance to site &gt; 500 km to &lt;= 1000 km ) Large fleet</v>
      </c>
      <c r="C108" s="92"/>
      <c r="D108" s="37" t="s">
        <v>99</v>
      </c>
      <c r="E108" s="58">
        <f>'Cost Schedule'!C68</f>
        <v>1780000</v>
      </c>
      <c r="F108" s="94"/>
      <c r="G108" s="59">
        <f t="shared" si="31"/>
        <v>1780000</v>
      </c>
      <c r="H108" s="37" t="str">
        <f t="shared" si="32"/>
        <v>mobe</v>
      </c>
      <c r="I108" s="60">
        <f t="shared" si="33"/>
        <v>0</v>
      </c>
      <c r="J108" s="97"/>
    </row>
    <row r="109" spans="1:10" ht="13">
      <c r="A109" s="61"/>
      <c r="B109" s="72" t="str">
        <f>'Cost Schedule'!B69</f>
        <v>Mobilisation &amp; Demobilisation (Distance to site &gt; 1000 km) Large fleet</v>
      </c>
      <c r="C109" s="92"/>
      <c r="D109" s="37" t="s">
        <v>99</v>
      </c>
      <c r="E109" s="58">
        <f>'Cost Schedule'!C69</f>
        <v>2710000</v>
      </c>
      <c r="F109" s="94"/>
      <c r="G109" s="59">
        <f t="shared" si="31"/>
        <v>2710000</v>
      </c>
      <c r="H109" s="37" t="str">
        <f t="shared" si="32"/>
        <v>mobe</v>
      </c>
      <c r="I109" s="60">
        <f t="shared" si="33"/>
        <v>0</v>
      </c>
      <c r="J109" s="97"/>
    </row>
    <row r="110" spans="1:10" ht="13">
      <c r="A110" s="61"/>
      <c r="B110" s="50" t="s">
        <v>689</v>
      </c>
      <c r="C110" s="51"/>
      <c r="D110" s="51"/>
      <c r="E110" s="51"/>
      <c r="F110" s="51"/>
      <c r="G110" s="51"/>
      <c r="H110" s="51"/>
      <c r="I110" s="52">
        <f>SUBTOTAL(9,I111:I121)</f>
        <v>0</v>
      </c>
      <c r="J110" s="53"/>
    </row>
    <row r="111" spans="1:10" ht="13">
      <c r="A111" s="61"/>
      <c r="B111" s="102" t="s">
        <v>100</v>
      </c>
      <c r="C111" s="92"/>
      <c r="D111" s="37" t="s">
        <v>57</v>
      </c>
      <c r="E111" s="73"/>
      <c r="F111" s="94">
        <v>1</v>
      </c>
      <c r="G111" s="65">
        <f t="shared" ref="G111:G121" si="34">IF(F111="",E111,F111)</f>
        <v>1</v>
      </c>
      <c r="H111" s="74" t="s">
        <v>57</v>
      </c>
      <c r="I111" s="60">
        <f t="shared" ref="I111:I121" si="35">G111*C111</f>
        <v>0</v>
      </c>
      <c r="J111" s="97"/>
    </row>
    <row r="112" spans="1:10" ht="13">
      <c r="A112" s="61"/>
      <c r="B112" s="102" t="s">
        <v>100</v>
      </c>
      <c r="C112" s="92"/>
      <c r="D112" s="37" t="s">
        <v>57</v>
      </c>
      <c r="E112" s="73"/>
      <c r="F112" s="94">
        <v>1</v>
      </c>
      <c r="G112" s="65">
        <f t="shared" si="34"/>
        <v>1</v>
      </c>
      <c r="H112" s="74" t="s">
        <v>57</v>
      </c>
      <c r="I112" s="60">
        <f t="shared" si="35"/>
        <v>0</v>
      </c>
      <c r="J112" s="96"/>
    </row>
    <row r="113" spans="1:11" ht="13">
      <c r="A113" s="61"/>
      <c r="B113" s="102" t="s">
        <v>100</v>
      </c>
      <c r="C113" s="92"/>
      <c r="D113" s="37" t="s">
        <v>57</v>
      </c>
      <c r="E113" s="73"/>
      <c r="F113" s="94">
        <v>1</v>
      </c>
      <c r="G113" s="65">
        <f t="shared" si="34"/>
        <v>1</v>
      </c>
      <c r="H113" s="74" t="s">
        <v>57</v>
      </c>
      <c r="I113" s="60">
        <f t="shared" si="35"/>
        <v>0</v>
      </c>
      <c r="J113" s="97"/>
    </row>
    <row r="114" spans="1:11" ht="13">
      <c r="A114" s="61"/>
      <c r="B114" s="102" t="s">
        <v>100</v>
      </c>
      <c r="C114" s="92"/>
      <c r="D114" s="37" t="s">
        <v>57</v>
      </c>
      <c r="E114" s="73"/>
      <c r="F114" s="94">
        <v>1</v>
      </c>
      <c r="G114" s="65">
        <f t="shared" si="34"/>
        <v>1</v>
      </c>
      <c r="H114" s="74" t="s">
        <v>57</v>
      </c>
      <c r="I114" s="60">
        <f t="shared" si="35"/>
        <v>0</v>
      </c>
      <c r="J114" s="97"/>
    </row>
    <row r="115" spans="1:11" ht="13">
      <c r="A115" s="61"/>
      <c r="B115" s="102" t="s">
        <v>100</v>
      </c>
      <c r="C115" s="92"/>
      <c r="D115" s="37" t="s">
        <v>57</v>
      </c>
      <c r="E115" s="73"/>
      <c r="F115" s="94">
        <v>1</v>
      </c>
      <c r="G115" s="65">
        <f t="shared" si="34"/>
        <v>1</v>
      </c>
      <c r="H115" s="74" t="s">
        <v>57</v>
      </c>
      <c r="I115" s="60">
        <f t="shared" si="35"/>
        <v>0</v>
      </c>
      <c r="J115" s="97"/>
    </row>
    <row r="116" spans="1:11" ht="13">
      <c r="A116" s="61"/>
      <c r="B116" s="102" t="s">
        <v>101</v>
      </c>
      <c r="C116" s="103"/>
      <c r="D116" s="96" t="s">
        <v>86</v>
      </c>
      <c r="F116" s="94">
        <v>1</v>
      </c>
      <c r="G116" s="65">
        <f t="shared" si="34"/>
        <v>1</v>
      </c>
      <c r="H116" s="37" t="str">
        <f t="shared" ref="H116:H121" si="36">D116</f>
        <v>Add unit</v>
      </c>
      <c r="I116" s="60">
        <f t="shared" si="35"/>
        <v>0</v>
      </c>
      <c r="J116" s="97"/>
    </row>
    <row r="117" spans="1:11" ht="13">
      <c r="A117" s="61"/>
      <c r="B117" s="102" t="s">
        <v>101</v>
      </c>
      <c r="C117" s="103"/>
      <c r="D117" s="96" t="s">
        <v>86</v>
      </c>
      <c r="F117" s="94">
        <v>1</v>
      </c>
      <c r="G117" s="65">
        <f t="shared" si="34"/>
        <v>1</v>
      </c>
      <c r="H117" s="37" t="str">
        <f t="shared" si="36"/>
        <v>Add unit</v>
      </c>
      <c r="I117" s="60">
        <f t="shared" si="35"/>
        <v>0</v>
      </c>
      <c r="J117" s="97"/>
    </row>
    <row r="118" spans="1:11" ht="13">
      <c r="A118" s="61"/>
      <c r="B118" s="102" t="s">
        <v>101</v>
      </c>
      <c r="C118" s="103"/>
      <c r="D118" s="96" t="s">
        <v>86</v>
      </c>
      <c r="F118" s="94">
        <v>1</v>
      </c>
      <c r="G118" s="65">
        <f t="shared" si="34"/>
        <v>1</v>
      </c>
      <c r="H118" s="37" t="str">
        <f t="shared" si="36"/>
        <v>Add unit</v>
      </c>
      <c r="I118" s="60">
        <f t="shared" si="35"/>
        <v>0</v>
      </c>
      <c r="J118" s="97"/>
    </row>
    <row r="119" spans="1:11" ht="13">
      <c r="A119" s="61"/>
      <c r="B119" s="102" t="s">
        <v>101</v>
      </c>
      <c r="C119" s="103"/>
      <c r="D119" s="96" t="s">
        <v>86</v>
      </c>
      <c r="F119" s="94">
        <v>1</v>
      </c>
      <c r="G119" s="65">
        <f t="shared" si="34"/>
        <v>1</v>
      </c>
      <c r="H119" s="37" t="str">
        <f t="shared" si="36"/>
        <v>Add unit</v>
      </c>
      <c r="I119" s="60">
        <f t="shared" si="35"/>
        <v>0</v>
      </c>
      <c r="J119" s="97"/>
    </row>
    <row r="120" spans="1:11" ht="13">
      <c r="A120" s="61"/>
      <c r="B120" s="102" t="s">
        <v>101</v>
      </c>
      <c r="C120" s="103"/>
      <c r="D120" s="96" t="s">
        <v>86</v>
      </c>
      <c r="F120" s="94">
        <v>1</v>
      </c>
      <c r="G120" s="65">
        <f t="shared" si="34"/>
        <v>1</v>
      </c>
      <c r="H120" s="37" t="str">
        <f t="shared" si="36"/>
        <v>Add unit</v>
      </c>
      <c r="I120" s="60">
        <f t="shared" si="35"/>
        <v>0</v>
      </c>
      <c r="J120" s="97"/>
    </row>
    <row r="121" spans="1:11" ht="13">
      <c r="A121" s="61"/>
      <c r="B121" s="102" t="s">
        <v>101</v>
      </c>
      <c r="C121" s="103"/>
      <c r="D121" s="96" t="s">
        <v>86</v>
      </c>
      <c r="F121" s="94">
        <v>1</v>
      </c>
      <c r="G121" s="65">
        <f t="shared" si="34"/>
        <v>1</v>
      </c>
      <c r="H121" s="37" t="str">
        <f t="shared" si="36"/>
        <v>Add unit</v>
      </c>
      <c r="I121" s="60">
        <f t="shared" si="35"/>
        <v>0</v>
      </c>
      <c r="J121" s="97"/>
    </row>
    <row r="122" spans="1:11" ht="13">
      <c r="A122" s="61"/>
      <c r="B122" s="75" t="s">
        <v>41</v>
      </c>
      <c r="C122" s="76"/>
      <c r="D122" s="76"/>
      <c r="E122" s="76"/>
      <c r="F122" s="76"/>
      <c r="G122" s="76"/>
      <c r="H122" s="76"/>
      <c r="I122" s="77">
        <f>SUBTOTAL(9,I9:I121)</f>
        <v>0</v>
      </c>
      <c r="J122" s="78"/>
      <c r="K122" s="79" t="str">
        <f>IF(SUM(I10:I17,I19:I39,I41:I46,I48:I62,I64:I80,I82:I86,I88:I100,I102:I109,I111:I121)=I122,"Sum check ok","E")</f>
        <v>Sum check ok</v>
      </c>
    </row>
    <row r="123" spans="1:11" ht="13.5" customHeight="1">
      <c r="A123" s="61"/>
      <c r="C123" s="37"/>
      <c r="F123" s="80"/>
    </row>
    <row r="124" spans="1:11" ht="13">
      <c r="A124" s="61"/>
      <c r="B124" s="50" t="s">
        <v>678</v>
      </c>
      <c r="C124" s="51"/>
      <c r="D124" s="81"/>
      <c r="E124" s="51"/>
      <c r="F124" s="51"/>
      <c r="G124" s="51"/>
      <c r="H124" s="51"/>
      <c r="I124" s="51"/>
      <c r="J124" s="53"/>
    </row>
    <row r="125" spans="1:11" ht="13">
      <c r="A125" s="61"/>
      <c r="B125" s="82" t="str">
        <f>Assumptions!B70</f>
        <v>Project management</v>
      </c>
      <c r="C125" s="83">
        <f>$I$122</f>
        <v>0</v>
      </c>
      <c r="E125" s="84">
        <f>Project_management_percentage</f>
        <v>0.1</v>
      </c>
      <c r="F125" s="104"/>
      <c r="G125" s="85">
        <f t="shared" ref="G125:G127" si="37">IF(F125="",E125,F125)</f>
        <v>0.1</v>
      </c>
      <c r="I125" s="60">
        <f>IF(F125="",E125,F125)*C125</f>
        <v>0</v>
      </c>
      <c r="J125" s="97"/>
    </row>
    <row r="126" spans="1:11" ht="13">
      <c r="A126" s="61"/>
      <c r="B126" s="82" t="str">
        <f>Assumptions!B71</f>
        <v>Ongoing monitoring</v>
      </c>
      <c r="C126" s="83">
        <f t="shared" ref="C126:C127" si="38">$I$122</f>
        <v>0</v>
      </c>
      <c r="E126" s="84">
        <f>Ongoing_monitoring_percentage</f>
        <v>0.05</v>
      </c>
      <c r="F126" s="104"/>
      <c r="G126" s="85">
        <f t="shared" si="37"/>
        <v>0.05</v>
      </c>
      <c r="I126" s="60">
        <f>IF(F126="",E126,F126)*C126</f>
        <v>0</v>
      </c>
      <c r="J126" s="97"/>
    </row>
    <row r="127" spans="1:11" ht="13">
      <c r="A127" s="61"/>
      <c r="B127" s="82" t="str">
        <f>Assumptions!B72</f>
        <v>Contingency</v>
      </c>
      <c r="C127" s="83">
        <f t="shared" si="38"/>
        <v>0</v>
      </c>
      <c r="E127" s="84">
        <f>Contingency_percentage</f>
        <v>0.1</v>
      </c>
      <c r="F127" s="105"/>
      <c r="G127" s="85">
        <f t="shared" si="37"/>
        <v>0.1</v>
      </c>
      <c r="I127" s="60">
        <f>IF(F127="",E127,F127)*C127</f>
        <v>0</v>
      </c>
      <c r="J127" s="97"/>
    </row>
    <row r="128" spans="1:11" ht="13">
      <c r="A128" s="61"/>
      <c r="B128" s="75" t="s">
        <v>43</v>
      </c>
      <c r="C128" s="86"/>
      <c r="D128" s="87"/>
      <c r="E128" s="87"/>
      <c r="F128" s="87"/>
      <c r="G128" s="87"/>
      <c r="H128" s="87"/>
      <c r="I128" s="77">
        <f>SUM(I125:I127)</f>
        <v>0</v>
      </c>
      <c r="J128" s="87"/>
    </row>
    <row r="129" spans="1:10">
      <c r="A129" s="61"/>
      <c r="C129" s="37"/>
      <c r="F129" s="80"/>
    </row>
    <row r="130" spans="1:10" ht="23.5" customHeight="1">
      <c r="A130" s="61"/>
      <c r="B130" s="88" t="s">
        <v>44</v>
      </c>
      <c r="C130" s="88"/>
      <c r="D130" s="88"/>
      <c r="E130" s="88"/>
      <c r="F130" s="88"/>
      <c r="G130" s="88"/>
      <c r="H130" s="88"/>
      <c r="I130" s="89">
        <f>I128+I122</f>
        <v>0</v>
      </c>
      <c r="J130" s="88"/>
    </row>
  </sheetData>
  <sheetProtection algorithmName="SHA-512" hashValue="12oLWY2ZjE9fBn+OvaluIu9vb6R8EGbQbXIjSszcQbxZZH1WPToO4cThGwiwBUHWHCnYebxp0+ZN0lAf0ypuQw==" saltValue="liOLXy1P1yUzgnKzrzuFJw==" spinCount="100000" sheet="1" objects="1" scenarios="1" autoFilter="0"/>
  <autoFilter ref="A8:K130" xr:uid="{986A7527-195F-4002-A73C-918B0E59C61C}"/>
  <dataConsolidate/>
  <conditionalFormatting sqref="F125:F127">
    <cfRule type="cellIs" dxfId="1" priority="1" operator="greaterThan">
      <formula>0</formula>
    </cfRule>
  </conditionalFormatting>
  <conditionalFormatting sqref="K122">
    <cfRule type="containsText" dxfId="0" priority="2" operator="containsText" text="fal">
      <formula>NOT(ISERROR(SEARCH("fal",K122)))</formula>
    </cfRule>
  </conditionalFormatting>
  <hyperlinks>
    <hyperlink ref="B4" location="Information" display="Return to Information" xr:uid="{71B6B415-27A5-43A0-AFC9-75364E30B90F}"/>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B2B99A6-BC9E-4BE9-8AA5-4FBC4D4A25BE}">
          <x14:formula1>
            <xm:f>'Cost Schedule'!$B$104:$B$187</xm:f>
          </x14:formula1>
          <xm:sqref>B53:B62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1E82C-5916-4FF9-80AE-26640FBF12A1}">
  <sheetPr codeName="Sheet6">
    <tabColor theme="4" tint="0.59999389629810485"/>
  </sheetPr>
  <dimension ref="A2:F187"/>
  <sheetViews>
    <sheetView showGridLines="0" zoomScaleNormal="100" workbookViewId="0">
      <pane ySplit="4" topLeftCell="A5" activePane="bottomLeft" state="frozen"/>
      <selection pane="bottomLeft"/>
    </sheetView>
  </sheetViews>
  <sheetFormatPr defaultColWidth="8.7265625" defaultRowHeight="12.5"/>
  <cols>
    <col min="1" max="1" width="5.1796875" style="37" customWidth="1"/>
    <col min="2" max="2" width="88.1796875" style="37" bestFit="1" customWidth="1"/>
    <col min="3" max="3" width="16.7265625" style="37" customWidth="1"/>
    <col min="4" max="4" width="12" style="37" customWidth="1"/>
    <col min="5" max="5" width="68.1796875" style="106" customWidth="1"/>
    <col min="6" max="6" width="81.453125" style="106" customWidth="1"/>
    <col min="7" max="7" width="10.1796875" style="37" customWidth="1"/>
    <col min="8" max="16384" width="8.7265625" style="37"/>
  </cols>
  <sheetData>
    <row r="2" spans="1:6" s="37" customFormat="1" ht="13">
      <c r="B2" s="38" t="str">
        <f>Project_Name</f>
        <v>South Australia Oil and Gas Financial Assurance Calculator</v>
      </c>
      <c r="E2" s="106"/>
      <c r="F2" s="106"/>
    </row>
    <row r="3" spans="1:6" s="37" customFormat="1">
      <c r="B3" s="107" t="s">
        <v>24</v>
      </c>
      <c r="E3" s="106"/>
      <c r="F3" s="106"/>
    </row>
    <row r="4" spans="1:6" s="37" customFormat="1" ht="13">
      <c r="B4" s="108" t="s">
        <v>14</v>
      </c>
      <c r="C4" s="36"/>
      <c r="D4" s="36"/>
      <c r="E4" s="109" t="s">
        <v>146</v>
      </c>
      <c r="F4" s="109" t="s">
        <v>147</v>
      </c>
    </row>
    <row r="6" spans="1:6" s="37" customFormat="1" ht="13">
      <c r="A6" s="110"/>
      <c r="B6" s="111" t="s">
        <v>604</v>
      </c>
      <c r="C6" s="112"/>
      <c r="D6" s="112"/>
      <c r="E6" s="113"/>
      <c r="F6" s="113"/>
    </row>
    <row r="7" spans="1:6" s="37" customFormat="1" ht="36.5" customHeight="1">
      <c r="B7" s="82" t="s">
        <v>715</v>
      </c>
      <c r="C7" s="114">
        <v>1500</v>
      </c>
      <c r="D7" s="37" t="s">
        <v>53</v>
      </c>
      <c r="E7" s="115" t="s">
        <v>716</v>
      </c>
      <c r="F7" s="115" t="s">
        <v>837</v>
      </c>
    </row>
    <row r="8" spans="1:6" s="37" customFormat="1" ht="36.5" customHeight="1">
      <c r="B8" s="82" t="s">
        <v>717</v>
      </c>
      <c r="C8" s="114">
        <v>4200</v>
      </c>
      <c r="D8" s="37" t="s">
        <v>54</v>
      </c>
      <c r="E8" s="115" t="s">
        <v>718</v>
      </c>
      <c r="F8" s="115" t="s">
        <v>837</v>
      </c>
    </row>
    <row r="9" spans="1:6" s="37" customFormat="1" ht="36.5" customHeight="1">
      <c r="B9" s="82" t="s">
        <v>599</v>
      </c>
      <c r="C9" s="114">
        <v>800</v>
      </c>
      <c r="D9" s="37" t="s">
        <v>53</v>
      </c>
      <c r="E9" s="115" t="s">
        <v>692</v>
      </c>
      <c r="F9" s="115" t="s">
        <v>838</v>
      </c>
    </row>
    <row r="10" spans="1:6" s="37" customFormat="1" ht="36.5" customHeight="1">
      <c r="B10" s="82" t="s">
        <v>598</v>
      </c>
      <c r="C10" s="114">
        <v>1500</v>
      </c>
      <c r="D10" s="37" t="s">
        <v>53</v>
      </c>
      <c r="E10" s="115" t="s">
        <v>692</v>
      </c>
      <c r="F10" s="115" t="s">
        <v>838</v>
      </c>
    </row>
    <row r="11" spans="1:6" s="37" customFormat="1" ht="28.5" customHeight="1">
      <c r="B11" s="116" t="s">
        <v>605</v>
      </c>
      <c r="C11" s="114">
        <v>2900</v>
      </c>
      <c r="D11" s="37" t="s">
        <v>56</v>
      </c>
      <c r="E11" s="115" t="s">
        <v>751</v>
      </c>
      <c r="F11" s="115" t="s">
        <v>839</v>
      </c>
    </row>
    <row r="12" spans="1:6" s="37" customFormat="1" ht="27.5" customHeight="1">
      <c r="B12" s="82" t="s">
        <v>600</v>
      </c>
      <c r="C12" s="114">
        <v>14000</v>
      </c>
      <c r="D12" s="37" t="s">
        <v>55</v>
      </c>
      <c r="E12" s="115" t="s">
        <v>752</v>
      </c>
      <c r="F12" s="115" t="s">
        <v>601</v>
      </c>
    </row>
    <row r="13" spans="1:6" s="37" customFormat="1" ht="50">
      <c r="B13" s="82" t="s">
        <v>602</v>
      </c>
      <c r="C13" s="114">
        <v>2700</v>
      </c>
      <c r="D13" s="37" t="s">
        <v>54</v>
      </c>
      <c r="E13" s="115" t="s">
        <v>753</v>
      </c>
      <c r="F13" s="117" t="s">
        <v>840</v>
      </c>
    </row>
    <row r="14" spans="1:6" s="37" customFormat="1" ht="21.5" customHeight="1">
      <c r="B14" s="82" t="s">
        <v>637</v>
      </c>
      <c r="C14" s="114">
        <v>900</v>
      </c>
      <c r="D14" s="37" t="s">
        <v>75</v>
      </c>
      <c r="E14" s="115" t="s">
        <v>693</v>
      </c>
      <c r="F14" s="115" t="s">
        <v>747</v>
      </c>
    </row>
    <row r="15" spans="1:6" s="37" customFormat="1"/>
    <row r="16" spans="1:6" s="37" customFormat="1" ht="13">
      <c r="A16" s="110"/>
      <c r="B16" s="111" t="s">
        <v>628</v>
      </c>
      <c r="C16" s="112"/>
      <c r="D16" s="112"/>
      <c r="E16" s="113"/>
      <c r="F16" s="113"/>
    </row>
    <row r="17" spans="1:6" s="37" customFormat="1" ht="87.5">
      <c r="B17" s="82" t="s">
        <v>629</v>
      </c>
      <c r="C17" s="114">
        <v>12400</v>
      </c>
      <c r="D17" s="37" t="s">
        <v>151</v>
      </c>
      <c r="E17" s="115" t="s">
        <v>728</v>
      </c>
      <c r="F17" s="115" t="s">
        <v>742</v>
      </c>
    </row>
    <row r="18" spans="1:6" s="37" customFormat="1" ht="112.5">
      <c r="B18" s="82" t="s">
        <v>630</v>
      </c>
      <c r="C18" s="114">
        <v>25000</v>
      </c>
      <c r="D18" s="37" t="s">
        <v>590</v>
      </c>
      <c r="E18" s="115" t="s">
        <v>741</v>
      </c>
      <c r="F18" s="115" t="s">
        <v>745</v>
      </c>
    </row>
    <row r="19" spans="1:6" s="37" customFormat="1" ht="125">
      <c r="B19" s="82" t="s">
        <v>631</v>
      </c>
      <c r="C19" s="114">
        <v>1000</v>
      </c>
      <c r="D19" s="37" t="s">
        <v>124</v>
      </c>
      <c r="E19" s="115" t="s">
        <v>729</v>
      </c>
      <c r="F19" s="115" t="s">
        <v>744</v>
      </c>
    </row>
    <row r="20" spans="1:6" s="37" customFormat="1" ht="125">
      <c r="B20" s="82" t="s">
        <v>517</v>
      </c>
      <c r="C20" s="114">
        <v>64000</v>
      </c>
      <c r="D20" s="37" t="s">
        <v>591</v>
      </c>
      <c r="E20" s="115" t="s">
        <v>730</v>
      </c>
      <c r="F20" s="115" t="s">
        <v>746</v>
      </c>
    </row>
    <row r="21" spans="1:6" s="37" customFormat="1" ht="112.5">
      <c r="B21" s="82" t="s">
        <v>632</v>
      </c>
      <c r="C21" s="114">
        <v>20</v>
      </c>
      <c r="D21" s="37" t="s">
        <v>124</v>
      </c>
      <c r="E21" s="115" t="s">
        <v>731</v>
      </c>
      <c r="F21" s="115" t="s">
        <v>743</v>
      </c>
    </row>
    <row r="22" spans="1:6" s="37" customFormat="1"/>
    <row r="23" spans="1:6" s="37" customFormat="1" ht="13">
      <c r="A23" s="110"/>
      <c r="B23" s="111" t="s">
        <v>603</v>
      </c>
      <c r="C23" s="112"/>
      <c r="D23" s="112"/>
      <c r="E23" s="113"/>
      <c r="F23" s="113"/>
    </row>
    <row r="24" spans="1:6" s="37" customFormat="1" ht="46.5" customHeight="1">
      <c r="B24" s="82" t="s">
        <v>599</v>
      </c>
      <c r="C24" s="114">
        <v>800</v>
      </c>
      <c r="D24" s="37" t="s">
        <v>53</v>
      </c>
      <c r="E24" s="115" t="s">
        <v>733</v>
      </c>
      <c r="F24" s="115" t="s">
        <v>838</v>
      </c>
    </row>
    <row r="25" spans="1:6" s="37" customFormat="1" ht="46.5" customHeight="1">
      <c r="B25" s="82" t="s">
        <v>598</v>
      </c>
      <c r="C25" s="114">
        <v>1500</v>
      </c>
      <c r="D25" s="37" t="s">
        <v>53</v>
      </c>
      <c r="E25" s="115" t="s">
        <v>733</v>
      </c>
      <c r="F25" s="115" t="s">
        <v>838</v>
      </c>
    </row>
    <row r="26" spans="1:6" s="37" customFormat="1" ht="46.5" customHeight="1">
      <c r="B26" s="82" t="s">
        <v>58</v>
      </c>
      <c r="C26" s="114">
        <v>6100</v>
      </c>
      <c r="D26" s="37" t="s">
        <v>54</v>
      </c>
      <c r="E26" s="115" t="s">
        <v>748</v>
      </c>
      <c r="F26" s="115" t="s">
        <v>841</v>
      </c>
    </row>
    <row r="27" spans="1:6" s="37" customFormat="1" ht="46.5" customHeight="1">
      <c r="B27" s="82" t="s">
        <v>361</v>
      </c>
      <c r="C27" s="114">
        <v>5200</v>
      </c>
      <c r="D27" s="37" t="s">
        <v>54</v>
      </c>
      <c r="E27" s="115" t="s">
        <v>732</v>
      </c>
      <c r="F27" s="115" t="s">
        <v>841</v>
      </c>
    </row>
    <row r="28" spans="1:6" s="37" customFormat="1" ht="62.5">
      <c r="B28" s="82" t="s">
        <v>606</v>
      </c>
      <c r="C28" s="114">
        <v>39.145024689738293</v>
      </c>
      <c r="D28" s="37" t="s">
        <v>59</v>
      </c>
      <c r="E28" s="115" t="s">
        <v>749</v>
      </c>
      <c r="F28" s="115" t="s">
        <v>842</v>
      </c>
    </row>
    <row r="29" spans="1:6" s="37" customFormat="1" ht="71" customHeight="1">
      <c r="B29" s="82" t="s">
        <v>607</v>
      </c>
      <c r="C29" s="114">
        <v>51.525966009821929</v>
      </c>
      <c r="D29" s="37" t="s">
        <v>59</v>
      </c>
      <c r="E29" s="115" t="s">
        <v>750</v>
      </c>
      <c r="F29" s="115" t="s">
        <v>843</v>
      </c>
    </row>
    <row r="30" spans="1:6" s="37" customFormat="1" ht="75">
      <c r="B30" s="82" t="s">
        <v>608</v>
      </c>
      <c r="C30" s="114">
        <v>90</v>
      </c>
      <c r="D30" s="37" t="s">
        <v>59</v>
      </c>
      <c r="E30" s="115" t="s">
        <v>754</v>
      </c>
      <c r="F30" s="115" t="s">
        <v>844</v>
      </c>
    </row>
    <row r="31" spans="1:6" s="37" customFormat="1" ht="75">
      <c r="B31" s="82" t="s">
        <v>609</v>
      </c>
      <c r="C31" s="114">
        <v>120</v>
      </c>
      <c r="D31" s="37" t="s">
        <v>59</v>
      </c>
      <c r="E31" s="115" t="s">
        <v>755</v>
      </c>
      <c r="F31" s="115" t="s">
        <v>845</v>
      </c>
    </row>
    <row r="32" spans="1:6" s="37" customFormat="1" ht="50">
      <c r="B32" s="82" t="s">
        <v>610</v>
      </c>
      <c r="C32" s="114">
        <v>22000</v>
      </c>
      <c r="D32" s="37" t="s">
        <v>149</v>
      </c>
      <c r="E32" s="115" t="s">
        <v>756</v>
      </c>
      <c r="F32" s="115" t="s">
        <v>846</v>
      </c>
    </row>
    <row r="33" spans="2:6" s="37" customFormat="1" ht="50">
      <c r="B33" s="82" t="s">
        <v>611</v>
      </c>
      <c r="C33" s="114">
        <v>37000</v>
      </c>
      <c r="D33" s="37" t="s">
        <v>60</v>
      </c>
      <c r="E33" s="115" t="s">
        <v>758</v>
      </c>
      <c r="F33" s="115" t="s">
        <v>757</v>
      </c>
    </row>
    <row r="34" spans="2:6" s="37" customFormat="1" ht="58.5" customHeight="1">
      <c r="B34" s="82" t="s">
        <v>61</v>
      </c>
      <c r="C34" s="114">
        <v>60</v>
      </c>
      <c r="D34" s="37" t="s">
        <v>59</v>
      </c>
      <c r="E34" s="115" t="s">
        <v>759</v>
      </c>
      <c r="F34" s="115" t="s">
        <v>847</v>
      </c>
    </row>
    <row r="35" spans="2:6" s="37" customFormat="1" ht="56" customHeight="1">
      <c r="B35" s="82" t="s">
        <v>612</v>
      </c>
      <c r="C35" s="114">
        <v>200</v>
      </c>
      <c r="D35" s="37" t="s">
        <v>589</v>
      </c>
      <c r="E35" s="115" t="s">
        <v>760</v>
      </c>
      <c r="F35" s="115" t="s">
        <v>848</v>
      </c>
    </row>
    <row r="36" spans="2:6" s="37" customFormat="1" ht="50">
      <c r="B36" s="82" t="s">
        <v>613</v>
      </c>
      <c r="C36" s="114">
        <v>27000</v>
      </c>
      <c r="D36" s="37" t="s">
        <v>53</v>
      </c>
      <c r="E36" s="115" t="s">
        <v>761</v>
      </c>
      <c r="F36" s="115" t="s">
        <v>762</v>
      </c>
    </row>
    <row r="37" spans="2:6" s="37" customFormat="1" ht="50">
      <c r="B37" s="82" t="s">
        <v>633</v>
      </c>
      <c r="C37" s="114">
        <v>51000</v>
      </c>
      <c r="D37" s="37" t="s">
        <v>54</v>
      </c>
      <c r="E37" s="115" t="s">
        <v>763</v>
      </c>
      <c r="F37" s="115" t="s">
        <v>765</v>
      </c>
    </row>
    <row r="38" spans="2:6" s="37" customFormat="1" ht="50">
      <c r="B38" s="82" t="s">
        <v>634</v>
      </c>
      <c r="C38" s="114">
        <v>41000</v>
      </c>
      <c r="D38" s="37" t="s">
        <v>54</v>
      </c>
      <c r="E38" s="115" t="s">
        <v>764</v>
      </c>
      <c r="F38" s="115" t="s">
        <v>766</v>
      </c>
    </row>
    <row r="39" spans="2:6" s="37" customFormat="1" ht="50">
      <c r="B39" s="82" t="s">
        <v>734</v>
      </c>
      <c r="C39" s="114">
        <v>30000</v>
      </c>
      <c r="D39" s="37" t="s">
        <v>54</v>
      </c>
      <c r="E39" s="115" t="s">
        <v>767</v>
      </c>
      <c r="F39" s="115" t="s">
        <v>768</v>
      </c>
    </row>
    <row r="40" spans="2:6" s="37" customFormat="1" ht="50">
      <c r="B40" s="82" t="s">
        <v>640</v>
      </c>
      <c r="C40" s="114">
        <v>2300</v>
      </c>
      <c r="D40" s="37" t="s">
        <v>164</v>
      </c>
      <c r="E40" s="115" t="s">
        <v>769</v>
      </c>
      <c r="F40" s="115" t="s">
        <v>770</v>
      </c>
    </row>
    <row r="41" spans="2:6" s="37" customFormat="1" ht="62.5">
      <c r="B41" s="82" t="s">
        <v>635</v>
      </c>
      <c r="C41" s="114">
        <v>15000</v>
      </c>
      <c r="D41" s="37" t="s">
        <v>165</v>
      </c>
      <c r="E41" s="115" t="s">
        <v>771</v>
      </c>
      <c r="F41" s="115" t="s">
        <v>772</v>
      </c>
    </row>
    <row r="42" spans="2:6" s="37" customFormat="1" ht="62.5">
      <c r="B42" s="82" t="s">
        <v>636</v>
      </c>
      <c r="C42" s="114">
        <v>30</v>
      </c>
      <c r="D42" s="37" t="s">
        <v>124</v>
      </c>
      <c r="E42" s="115" t="s">
        <v>735</v>
      </c>
      <c r="F42" s="115" t="s">
        <v>772</v>
      </c>
    </row>
    <row r="43" spans="2:6" s="37" customFormat="1" ht="50">
      <c r="B43" s="82" t="s">
        <v>680</v>
      </c>
      <c r="C43" s="114">
        <v>1000</v>
      </c>
      <c r="D43" s="37" t="s">
        <v>638</v>
      </c>
      <c r="E43" s="115" t="s">
        <v>773</v>
      </c>
      <c r="F43" s="115" t="s">
        <v>774</v>
      </c>
    </row>
    <row r="44" spans="2:6" s="37" customFormat="1" ht="50">
      <c r="B44" s="82" t="s">
        <v>639</v>
      </c>
      <c r="C44" s="114">
        <v>7000</v>
      </c>
      <c r="D44" s="37" t="s">
        <v>638</v>
      </c>
      <c r="E44" s="115" t="s">
        <v>775</v>
      </c>
      <c r="F44" s="115" t="s">
        <v>776</v>
      </c>
    </row>
    <row r="45" spans="2:6" s="37" customFormat="1"/>
    <row r="46" spans="2:6" s="37" customFormat="1" ht="13">
      <c r="B46" s="111" t="s">
        <v>88</v>
      </c>
      <c r="C46" s="118"/>
      <c r="D46" s="112"/>
      <c r="E46" s="119"/>
      <c r="F46" s="119"/>
    </row>
    <row r="47" spans="2:6" s="37" customFormat="1" ht="37.5">
      <c r="B47" s="82" t="s">
        <v>455</v>
      </c>
      <c r="C47" s="114">
        <v>530</v>
      </c>
      <c r="D47" s="37" t="s">
        <v>54</v>
      </c>
      <c r="E47" s="115" t="s">
        <v>777</v>
      </c>
      <c r="F47" s="117" t="s">
        <v>849</v>
      </c>
    </row>
    <row r="48" spans="2:6" s="37" customFormat="1" ht="62.5">
      <c r="B48" s="82" t="s">
        <v>641</v>
      </c>
      <c r="C48" s="114">
        <v>2100</v>
      </c>
      <c r="D48" s="37" t="s">
        <v>54</v>
      </c>
      <c r="E48" s="115" t="s">
        <v>778</v>
      </c>
      <c r="F48" s="117" t="s">
        <v>850</v>
      </c>
    </row>
    <row r="49" spans="1:6" s="37" customFormat="1" ht="37.5">
      <c r="B49" s="82" t="s">
        <v>681</v>
      </c>
      <c r="C49" s="114">
        <v>450</v>
      </c>
      <c r="D49" s="37" t="s">
        <v>54</v>
      </c>
      <c r="E49" s="115" t="s">
        <v>779</v>
      </c>
      <c r="F49" s="117" t="s">
        <v>851</v>
      </c>
    </row>
    <row r="50" spans="1:6" s="37" customFormat="1" ht="87.5">
      <c r="B50" s="82" t="s">
        <v>642</v>
      </c>
      <c r="C50" s="114">
        <v>180</v>
      </c>
      <c r="D50" s="37" t="s">
        <v>87</v>
      </c>
      <c r="E50" s="115" t="s">
        <v>727</v>
      </c>
      <c r="F50" s="115" t="s">
        <v>781</v>
      </c>
    </row>
    <row r="51" spans="1:6" s="37" customFormat="1" ht="50">
      <c r="B51" s="82" t="s">
        <v>643</v>
      </c>
      <c r="C51" s="114">
        <v>3200</v>
      </c>
      <c r="D51" s="37" t="s">
        <v>54</v>
      </c>
      <c r="E51" s="115" t="s">
        <v>726</v>
      </c>
      <c r="F51" s="115" t="s">
        <v>782</v>
      </c>
    </row>
    <row r="52" spans="1:6" s="37" customFormat="1" ht="62.5">
      <c r="B52" s="82" t="s">
        <v>96</v>
      </c>
      <c r="C52" s="114">
        <v>2000</v>
      </c>
      <c r="D52" s="37" t="s">
        <v>54</v>
      </c>
      <c r="E52" s="115" t="s">
        <v>783</v>
      </c>
      <c r="F52" s="115" t="s">
        <v>784</v>
      </c>
    </row>
    <row r="53" spans="1:6" s="37" customFormat="1" ht="37.5">
      <c r="B53" s="82" t="s">
        <v>644</v>
      </c>
      <c r="C53" s="114">
        <v>10000</v>
      </c>
      <c r="D53" s="37" t="s">
        <v>153</v>
      </c>
      <c r="E53" s="115" t="s">
        <v>785</v>
      </c>
      <c r="F53" s="115" t="s">
        <v>787</v>
      </c>
    </row>
    <row r="54" spans="1:6" s="37" customFormat="1" ht="62.5">
      <c r="B54" s="82" t="s">
        <v>645</v>
      </c>
      <c r="C54" s="114">
        <v>37000</v>
      </c>
      <c r="D54" s="37" t="s">
        <v>153</v>
      </c>
      <c r="E54" s="115" t="s">
        <v>789</v>
      </c>
      <c r="F54" s="115" t="s">
        <v>788</v>
      </c>
    </row>
    <row r="55" spans="1:6" s="37" customFormat="1" ht="50">
      <c r="B55" s="82" t="s">
        <v>646</v>
      </c>
      <c r="C55" s="114">
        <v>80</v>
      </c>
      <c r="D55" s="37" t="s">
        <v>87</v>
      </c>
      <c r="E55" s="115" t="s">
        <v>786</v>
      </c>
      <c r="F55" s="115" t="s">
        <v>790</v>
      </c>
    </row>
    <row r="56" spans="1:6" s="37" customFormat="1" ht="50">
      <c r="B56" s="82" t="s">
        <v>740</v>
      </c>
      <c r="C56" s="114">
        <v>420</v>
      </c>
      <c r="D56" s="37" t="s">
        <v>87</v>
      </c>
      <c r="E56" s="115" t="s">
        <v>791</v>
      </c>
      <c r="F56" s="115" t="s">
        <v>795</v>
      </c>
    </row>
    <row r="57" spans="1:6" s="37" customFormat="1" ht="37.5">
      <c r="B57" s="82" t="s">
        <v>736</v>
      </c>
      <c r="C57" s="114">
        <v>420</v>
      </c>
      <c r="D57" s="37" t="s">
        <v>87</v>
      </c>
      <c r="E57" s="115" t="s">
        <v>792</v>
      </c>
      <c r="F57" s="115" t="s">
        <v>795</v>
      </c>
    </row>
    <row r="58" spans="1:6" s="37" customFormat="1" ht="37.5">
      <c r="B58" s="82" t="s">
        <v>737</v>
      </c>
      <c r="C58" s="114">
        <v>100</v>
      </c>
      <c r="D58" s="37" t="s">
        <v>59</v>
      </c>
      <c r="E58" s="115" t="s">
        <v>793</v>
      </c>
      <c r="F58" s="115" t="s">
        <v>795</v>
      </c>
    </row>
    <row r="59" spans="1:6" s="37" customFormat="1" ht="37.5">
      <c r="B59" s="82" t="s">
        <v>738</v>
      </c>
      <c r="C59" s="114">
        <v>70</v>
      </c>
      <c r="D59" s="37" t="s">
        <v>90</v>
      </c>
      <c r="E59" s="115" t="s">
        <v>794</v>
      </c>
      <c r="F59" s="115" t="s">
        <v>795</v>
      </c>
    </row>
    <row r="60" spans="1:6" s="37" customFormat="1"/>
    <row r="61" spans="1:6" s="37" customFormat="1" ht="14.5">
      <c r="A61" s="120"/>
      <c r="B61" s="111" t="s">
        <v>98</v>
      </c>
      <c r="C61" s="118"/>
      <c r="D61" s="112"/>
      <c r="E61" s="119"/>
      <c r="F61" s="119"/>
    </row>
    <row r="62" spans="1:6" s="37" customFormat="1" ht="75">
      <c r="B62" s="116" t="s">
        <v>154</v>
      </c>
      <c r="C62" s="114">
        <v>41000</v>
      </c>
      <c r="D62" s="37" t="s">
        <v>155</v>
      </c>
      <c r="E62" s="115" t="s">
        <v>796</v>
      </c>
      <c r="F62" s="115" t="s">
        <v>852</v>
      </c>
    </row>
    <row r="63" spans="1:6" s="37" customFormat="1" ht="75">
      <c r="B63" s="116" t="s">
        <v>156</v>
      </c>
      <c r="C63" s="114">
        <v>200000</v>
      </c>
      <c r="D63" s="37" t="s">
        <v>155</v>
      </c>
      <c r="E63" s="115" t="s">
        <v>796</v>
      </c>
      <c r="F63" s="115" t="s">
        <v>853</v>
      </c>
    </row>
    <row r="64" spans="1:6" s="37" customFormat="1" ht="75">
      <c r="B64" s="116" t="s">
        <v>157</v>
      </c>
      <c r="C64" s="114">
        <v>750000</v>
      </c>
      <c r="D64" s="37" t="s">
        <v>155</v>
      </c>
      <c r="E64" s="115" t="s">
        <v>796</v>
      </c>
      <c r="F64" s="115" t="s">
        <v>852</v>
      </c>
    </row>
    <row r="65" spans="1:6" s="37" customFormat="1" ht="75">
      <c r="B65" s="116" t="s">
        <v>158</v>
      </c>
      <c r="C65" s="114">
        <v>1140000</v>
      </c>
      <c r="D65" s="37" t="s">
        <v>155</v>
      </c>
      <c r="E65" s="115" t="s">
        <v>796</v>
      </c>
      <c r="F65" s="115" t="s">
        <v>853</v>
      </c>
    </row>
    <row r="66" spans="1:6" s="37" customFormat="1" ht="62.5">
      <c r="B66" s="116" t="s">
        <v>159</v>
      </c>
      <c r="C66" s="114">
        <v>95000</v>
      </c>
      <c r="D66" s="37" t="s">
        <v>155</v>
      </c>
      <c r="E66" s="115" t="s">
        <v>797</v>
      </c>
      <c r="F66" s="115" t="s">
        <v>852</v>
      </c>
    </row>
    <row r="67" spans="1:6" s="37" customFormat="1" ht="62.5">
      <c r="B67" s="116" t="s">
        <v>160</v>
      </c>
      <c r="C67" s="114">
        <v>470000</v>
      </c>
      <c r="D67" s="37" t="s">
        <v>155</v>
      </c>
      <c r="E67" s="115" t="s">
        <v>797</v>
      </c>
      <c r="F67" s="115" t="s">
        <v>853</v>
      </c>
    </row>
    <row r="68" spans="1:6" s="37" customFormat="1" ht="62.5">
      <c r="A68" s="74"/>
      <c r="B68" s="116" t="s">
        <v>161</v>
      </c>
      <c r="C68" s="114">
        <v>1780000</v>
      </c>
      <c r="D68" s="37" t="s">
        <v>155</v>
      </c>
      <c r="E68" s="115" t="s">
        <v>797</v>
      </c>
      <c r="F68" s="115" t="s">
        <v>852</v>
      </c>
    </row>
    <row r="69" spans="1:6" s="37" customFormat="1" ht="62.5">
      <c r="A69" s="74"/>
      <c r="B69" s="116" t="s">
        <v>162</v>
      </c>
      <c r="C69" s="114">
        <v>2710000</v>
      </c>
      <c r="D69" s="37" t="s">
        <v>155</v>
      </c>
      <c r="E69" s="115" t="s">
        <v>797</v>
      </c>
      <c r="F69" s="115" t="s">
        <v>853</v>
      </c>
    </row>
    <row r="70" spans="1:6" s="37" customFormat="1"/>
    <row r="71" spans="1:6" s="37" customFormat="1" ht="13">
      <c r="A71" s="110"/>
      <c r="B71" s="111" t="s">
        <v>77</v>
      </c>
      <c r="C71" s="112"/>
      <c r="D71" s="112"/>
      <c r="E71" s="113"/>
      <c r="F71" s="113"/>
    </row>
    <row r="72" spans="1:6" s="37" customFormat="1" ht="50">
      <c r="B72" s="82" t="s">
        <v>571</v>
      </c>
      <c r="C72" s="114">
        <v>270</v>
      </c>
      <c r="D72" s="37" t="s">
        <v>53</v>
      </c>
      <c r="E72" s="115" t="s">
        <v>799</v>
      </c>
      <c r="F72" s="115" t="s">
        <v>854</v>
      </c>
    </row>
    <row r="73" spans="1:6" s="37" customFormat="1" ht="50">
      <c r="B73" s="82" t="s">
        <v>572</v>
      </c>
      <c r="C73" s="114">
        <v>610</v>
      </c>
      <c r="D73" s="37" t="s">
        <v>53</v>
      </c>
      <c r="E73" s="115" t="s">
        <v>799</v>
      </c>
      <c r="F73" s="115" t="s">
        <v>855</v>
      </c>
    </row>
    <row r="74" spans="1:6" s="37" customFormat="1" ht="50">
      <c r="B74" s="82" t="s">
        <v>573</v>
      </c>
      <c r="C74" s="114">
        <v>4300</v>
      </c>
      <c r="D74" s="37" t="s">
        <v>53</v>
      </c>
      <c r="E74" s="115" t="s">
        <v>800</v>
      </c>
      <c r="F74" s="115" t="s">
        <v>856</v>
      </c>
    </row>
    <row r="75" spans="1:6" s="37" customFormat="1" ht="50">
      <c r="B75" s="82" t="s">
        <v>574</v>
      </c>
      <c r="C75" s="114">
        <v>27000</v>
      </c>
      <c r="D75" s="37" t="s">
        <v>53</v>
      </c>
      <c r="E75" s="115" t="s">
        <v>800</v>
      </c>
      <c r="F75" s="115" t="s">
        <v>857</v>
      </c>
    </row>
    <row r="76" spans="1:6" s="37" customFormat="1" ht="50">
      <c r="B76" s="82" t="s">
        <v>575</v>
      </c>
      <c r="C76" s="114">
        <v>67000</v>
      </c>
      <c r="D76" s="37" t="s">
        <v>53</v>
      </c>
      <c r="E76" s="115" t="s">
        <v>800</v>
      </c>
      <c r="F76" s="115" t="s">
        <v>858</v>
      </c>
    </row>
    <row r="77" spans="1:6" s="37" customFormat="1" ht="37.5">
      <c r="B77" s="82" t="s">
        <v>576</v>
      </c>
      <c r="C77" s="114">
        <v>36000</v>
      </c>
      <c r="D77" s="37" t="s">
        <v>53</v>
      </c>
      <c r="E77" s="115" t="s">
        <v>798</v>
      </c>
      <c r="F77" s="115" t="s">
        <v>859</v>
      </c>
    </row>
    <row r="78" spans="1:6" s="37" customFormat="1" ht="50">
      <c r="B78" s="82" t="s">
        <v>577</v>
      </c>
      <c r="C78" s="114">
        <v>14000</v>
      </c>
      <c r="D78" s="37" t="s">
        <v>53</v>
      </c>
      <c r="E78" s="115" t="s">
        <v>803</v>
      </c>
      <c r="F78" s="115" t="s">
        <v>860</v>
      </c>
    </row>
    <row r="79" spans="1:6" s="37" customFormat="1" ht="50">
      <c r="B79" s="82" t="s">
        <v>578</v>
      </c>
      <c r="C79" s="114">
        <v>17631.908838870339</v>
      </c>
      <c r="D79" s="37" t="s">
        <v>53</v>
      </c>
      <c r="E79" s="115" t="s">
        <v>802</v>
      </c>
      <c r="F79" s="115" t="s">
        <v>861</v>
      </c>
    </row>
    <row r="80" spans="1:6" s="37" customFormat="1" ht="50">
      <c r="B80" s="82" t="s">
        <v>579</v>
      </c>
      <c r="C80" s="114">
        <v>13394.164658785081</v>
      </c>
      <c r="D80" s="37" t="s">
        <v>53</v>
      </c>
      <c r="E80" s="115" t="s">
        <v>801</v>
      </c>
      <c r="F80" s="115" t="s">
        <v>862</v>
      </c>
    </row>
    <row r="81" spans="1:6" s="37" customFormat="1" ht="50">
      <c r="B81" s="82" t="s">
        <v>621</v>
      </c>
      <c r="C81" s="114">
        <v>600</v>
      </c>
      <c r="D81" s="37" t="s">
        <v>54</v>
      </c>
      <c r="E81" s="115" t="s">
        <v>804</v>
      </c>
      <c r="F81" s="115" t="s">
        <v>811</v>
      </c>
    </row>
    <row r="82" spans="1:6" s="37" customFormat="1" ht="50">
      <c r="B82" s="82" t="s">
        <v>622</v>
      </c>
      <c r="C82" s="114">
        <v>8700</v>
      </c>
      <c r="D82" s="37" t="s">
        <v>54</v>
      </c>
      <c r="E82" s="115" t="s">
        <v>805</v>
      </c>
      <c r="F82" s="115" t="s">
        <v>812</v>
      </c>
    </row>
    <row r="83" spans="1:6" s="37" customFormat="1" ht="50">
      <c r="B83" s="82" t="s">
        <v>623</v>
      </c>
      <c r="C83" s="114">
        <v>10600</v>
      </c>
      <c r="D83" s="37" t="s">
        <v>54</v>
      </c>
      <c r="E83" s="115" t="s">
        <v>806</v>
      </c>
      <c r="F83" s="115" t="s">
        <v>812</v>
      </c>
    </row>
    <row r="84" spans="1:6" s="37" customFormat="1" ht="50">
      <c r="B84" s="82" t="s">
        <v>588</v>
      </c>
      <c r="C84" s="114">
        <v>16200</v>
      </c>
      <c r="D84" s="37" t="s">
        <v>84</v>
      </c>
      <c r="E84" s="115" t="s">
        <v>807</v>
      </c>
      <c r="F84" s="115" t="s">
        <v>863</v>
      </c>
    </row>
    <row r="85" spans="1:6" s="37" customFormat="1" ht="50">
      <c r="B85" s="82" t="s">
        <v>625</v>
      </c>
      <c r="C85" s="114">
        <v>1000</v>
      </c>
      <c r="D85" s="37" t="s">
        <v>149</v>
      </c>
      <c r="E85" s="115" t="s">
        <v>808</v>
      </c>
      <c r="F85" s="115" t="s">
        <v>864</v>
      </c>
    </row>
    <row r="86" spans="1:6" s="37" customFormat="1" ht="75">
      <c r="B86" s="82" t="s">
        <v>626</v>
      </c>
      <c r="C86" s="114">
        <v>40000</v>
      </c>
      <c r="D86" s="37" t="s">
        <v>170</v>
      </c>
      <c r="E86" s="115" t="s">
        <v>809</v>
      </c>
      <c r="F86" s="115" t="s">
        <v>814</v>
      </c>
    </row>
    <row r="87" spans="1:6" s="37" customFormat="1" ht="50">
      <c r="B87" s="82" t="s">
        <v>627</v>
      </c>
      <c r="C87" s="114">
        <v>14000</v>
      </c>
      <c r="D87" s="37" t="s">
        <v>170</v>
      </c>
      <c r="E87" s="115" t="s">
        <v>813</v>
      </c>
      <c r="F87" s="115" t="s">
        <v>815</v>
      </c>
    </row>
    <row r="88" spans="1:6" s="37" customFormat="1" ht="75">
      <c r="B88" s="82" t="s">
        <v>624</v>
      </c>
      <c r="C88" s="114">
        <v>200</v>
      </c>
      <c r="D88" s="37" t="s">
        <v>59</v>
      </c>
      <c r="E88" s="115" t="s">
        <v>810</v>
      </c>
      <c r="F88" s="115" t="s">
        <v>814</v>
      </c>
    </row>
    <row r="90" spans="1:6" s="37" customFormat="1" ht="13">
      <c r="A90" s="110"/>
      <c r="B90" s="111" t="s">
        <v>618</v>
      </c>
      <c r="C90" s="112"/>
      <c r="D90" s="112"/>
      <c r="E90" s="113"/>
      <c r="F90" s="113"/>
    </row>
    <row r="91" spans="1:6" s="37" customFormat="1" ht="37.5">
      <c r="B91" s="82" t="s">
        <v>614</v>
      </c>
      <c r="C91" s="114">
        <v>170</v>
      </c>
      <c r="D91" s="37" t="s">
        <v>75</v>
      </c>
      <c r="E91" s="115" t="s">
        <v>816</v>
      </c>
      <c r="F91" s="115" t="s">
        <v>747</v>
      </c>
    </row>
    <row r="92" spans="1:6" s="37" customFormat="1" ht="50">
      <c r="B92" s="82" t="s">
        <v>615</v>
      </c>
      <c r="C92" s="114">
        <v>800</v>
      </c>
      <c r="D92" s="37" t="s">
        <v>75</v>
      </c>
      <c r="E92" s="115" t="s">
        <v>817</v>
      </c>
      <c r="F92" s="115" t="s">
        <v>830</v>
      </c>
    </row>
    <row r="93" spans="1:6" s="37" customFormat="1" ht="62.5">
      <c r="B93" s="82" t="s">
        <v>616</v>
      </c>
      <c r="C93" s="121">
        <v>0.7617102248984996</v>
      </c>
      <c r="D93" s="37" t="s">
        <v>59</v>
      </c>
      <c r="E93" s="115" t="s">
        <v>818</v>
      </c>
      <c r="F93" s="115" t="s">
        <v>865</v>
      </c>
    </row>
    <row r="94" spans="1:6" s="37" customFormat="1" ht="62.5">
      <c r="B94" s="82" t="s">
        <v>617</v>
      </c>
      <c r="C94" s="121">
        <v>2.4905949400181164</v>
      </c>
      <c r="D94" s="37" t="s">
        <v>59</v>
      </c>
      <c r="E94" s="115" t="s">
        <v>819</v>
      </c>
      <c r="F94" s="115" t="s">
        <v>866</v>
      </c>
    </row>
    <row r="95" spans="1:6" s="37" customFormat="1" ht="62.5">
      <c r="B95" s="82" t="s">
        <v>619</v>
      </c>
      <c r="C95" s="121">
        <v>1.0888722309422814</v>
      </c>
      <c r="D95" s="37" t="s">
        <v>59</v>
      </c>
      <c r="E95" s="115" t="s">
        <v>820</v>
      </c>
      <c r="F95" s="115" t="s">
        <v>865</v>
      </c>
    </row>
    <row r="96" spans="1:6" s="37" customFormat="1" ht="62.5">
      <c r="B96" s="82" t="s">
        <v>620</v>
      </c>
      <c r="C96" s="121">
        <v>1.3872805002969975</v>
      </c>
      <c r="D96" s="37" t="s">
        <v>59</v>
      </c>
      <c r="E96" s="115" t="s">
        <v>821</v>
      </c>
      <c r="F96" s="115" t="s">
        <v>865</v>
      </c>
    </row>
    <row r="97" spans="1:6" s="37" customFormat="1"/>
    <row r="98" spans="1:6" s="37" customFormat="1" ht="13">
      <c r="A98" s="110"/>
      <c r="B98" s="111" t="s">
        <v>166</v>
      </c>
      <c r="C98" s="112"/>
      <c r="D98" s="112"/>
      <c r="E98" s="113"/>
      <c r="F98" s="113"/>
    </row>
    <row r="99" spans="1:6" s="37" customFormat="1" ht="25">
      <c r="B99" s="82" t="s">
        <v>167</v>
      </c>
      <c r="C99" s="114">
        <v>44000</v>
      </c>
      <c r="D99" s="37" t="s">
        <v>168</v>
      </c>
      <c r="E99" s="115" t="s">
        <v>824</v>
      </c>
      <c r="F99" s="115" t="s">
        <v>825</v>
      </c>
    </row>
    <row r="100" spans="1:6" s="37" customFormat="1" ht="37.5">
      <c r="B100" s="82" t="s">
        <v>867</v>
      </c>
      <c r="C100" s="114">
        <v>29000</v>
      </c>
      <c r="D100" s="37" t="s">
        <v>168</v>
      </c>
      <c r="E100" s="115" t="s">
        <v>831</v>
      </c>
      <c r="F100" s="115" t="s">
        <v>826</v>
      </c>
    </row>
    <row r="101" spans="1:6" s="37" customFormat="1" ht="37.5">
      <c r="B101" s="82" t="s">
        <v>868</v>
      </c>
      <c r="C101" s="114">
        <v>66000</v>
      </c>
      <c r="D101" s="37" t="s">
        <v>168</v>
      </c>
      <c r="E101" s="115" t="s">
        <v>831</v>
      </c>
      <c r="F101" s="115" t="s">
        <v>826</v>
      </c>
    </row>
    <row r="102" spans="1:6" s="37" customFormat="1" ht="37.5">
      <c r="B102" s="82" t="s">
        <v>869</v>
      </c>
      <c r="C102" s="114">
        <v>124000</v>
      </c>
      <c r="D102" s="37" t="s">
        <v>168</v>
      </c>
      <c r="E102" s="115" t="s">
        <v>831</v>
      </c>
      <c r="F102" s="115" t="s">
        <v>826</v>
      </c>
    </row>
    <row r="103" spans="1:6" s="37" customFormat="1" ht="37.5">
      <c r="B103" s="82" t="s">
        <v>870</v>
      </c>
      <c r="C103" s="114">
        <v>160000</v>
      </c>
      <c r="D103" s="37" t="s">
        <v>168</v>
      </c>
      <c r="E103" s="115" t="s">
        <v>831</v>
      </c>
      <c r="F103" s="115" t="s">
        <v>826</v>
      </c>
    </row>
    <row r="104" spans="1:6" s="37" customFormat="1" ht="25">
      <c r="B104" s="82" t="s">
        <v>871</v>
      </c>
      <c r="C104" s="114">
        <v>173000</v>
      </c>
      <c r="D104" s="37" t="s">
        <v>76</v>
      </c>
      <c r="E104" s="115" t="s">
        <v>823</v>
      </c>
      <c r="F104" s="115" t="s">
        <v>822</v>
      </c>
    </row>
    <row r="105" spans="1:6" s="37" customFormat="1" ht="25">
      <c r="B105" s="82" t="s">
        <v>595</v>
      </c>
      <c r="C105" s="114">
        <v>205000</v>
      </c>
      <c r="D105" s="37" t="s">
        <v>76</v>
      </c>
      <c r="E105" s="115" t="s">
        <v>823</v>
      </c>
      <c r="F105" s="115" t="s">
        <v>822</v>
      </c>
    </row>
    <row r="106" spans="1:6" s="37" customFormat="1" ht="25">
      <c r="B106" s="82" t="s">
        <v>872</v>
      </c>
      <c r="C106" s="114">
        <v>251000</v>
      </c>
      <c r="D106" s="37" t="s">
        <v>76</v>
      </c>
      <c r="E106" s="115" t="s">
        <v>823</v>
      </c>
      <c r="F106" s="115" t="s">
        <v>822</v>
      </c>
    </row>
    <row r="107" spans="1:6" s="37" customFormat="1" ht="25">
      <c r="B107" s="82" t="s">
        <v>873</v>
      </c>
      <c r="C107" s="114">
        <v>310000</v>
      </c>
      <c r="D107" s="37" t="s">
        <v>76</v>
      </c>
      <c r="E107" s="115" t="s">
        <v>823</v>
      </c>
      <c r="F107" s="115" t="s">
        <v>822</v>
      </c>
    </row>
    <row r="108" spans="1:6" s="37" customFormat="1" ht="25">
      <c r="B108" s="82" t="s">
        <v>874</v>
      </c>
      <c r="C108" s="114">
        <v>370000</v>
      </c>
      <c r="D108" s="37" t="s">
        <v>76</v>
      </c>
      <c r="E108" s="115" t="s">
        <v>823</v>
      </c>
      <c r="F108" s="115" t="s">
        <v>822</v>
      </c>
    </row>
    <row r="109" spans="1:6" s="37" customFormat="1" ht="25">
      <c r="B109" s="82" t="s">
        <v>875</v>
      </c>
      <c r="C109" s="114">
        <v>429000</v>
      </c>
      <c r="D109" s="37" t="s">
        <v>76</v>
      </c>
      <c r="E109" s="115" t="s">
        <v>823</v>
      </c>
      <c r="F109" s="115" t="s">
        <v>822</v>
      </c>
    </row>
    <row r="110" spans="1:6" s="37" customFormat="1" ht="25">
      <c r="B110" s="82" t="s">
        <v>876</v>
      </c>
      <c r="C110" s="114">
        <v>488000</v>
      </c>
      <c r="D110" s="37" t="s">
        <v>76</v>
      </c>
      <c r="E110" s="115" t="s">
        <v>823</v>
      </c>
      <c r="F110" s="115" t="s">
        <v>822</v>
      </c>
    </row>
    <row r="111" spans="1:6" s="37" customFormat="1" ht="25">
      <c r="B111" s="82" t="s">
        <v>877</v>
      </c>
      <c r="C111" s="114">
        <v>301000</v>
      </c>
      <c r="D111" s="37" t="s">
        <v>76</v>
      </c>
      <c r="E111" s="115" t="s">
        <v>823</v>
      </c>
      <c r="F111" s="115" t="s">
        <v>822</v>
      </c>
    </row>
    <row r="112" spans="1:6" s="37" customFormat="1" ht="25">
      <c r="B112" s="82" t="s">
        <v>878</v>
      </c>
      <c r="C112" s="114">
        <v>333000</v>
      </c>
      <c r="D112" s="37" t="s">
        <v>76</v>
      </c>
      <c r="E112" s="115" t="s">
        <v>823</v>
      </c>
      <c r="F112" s="115" t="s">
        <v>822</v>
      </c>
    </row>
    <row r="113" spans="2:6" s="37" customFormat="1" ht="25">
      <c r="B113" s="82" t="s">
        <v>879</v>
      </c>
      <c r="C113" s="114">
        <v>379000</v>
      </c>
      <c r="D113" s="37" t="s">
        <v>76</v>
      </c>
      <c r="E113" s="115" t="s">
        <v>823</v>
      </c>
      <c r="F113" s="115" t="s">
        <v>822</v>
      </c>
    </row>
    <row r="114" spans="2:6" s="37" customFormat="1" ht="25">
      <c r="B114" s="82" t="s">
        <v>880</v>
      </c>
      <c r="C114" s="114">
        <v>438000</v>
      </c>
      <c r="D114" s="37" t="s">
        <v>76</v>
      </c>
      <c r="E114" s="115" t="s">
        <v>823</v>
      </c>
      <c r="F114" s="115" t="s">
        <v>822</v>
      </c>
    </row>
    <row r="115" spans="2:6" s="37" customFormat="1" ht="25">
      <c r="B115" s="82" t="s">
        <v>881</v>
      </c>
      <c r="C115" s="114">
        <v>497000</v>
      </c>
      <c r="D115" s="37" t="s">
        <v>76</v>
      </c>
      <c r="E115" s="115" t="s">
        <v>823</v>
      </c>
      <c r="F115" s="115" t="s">
        <v>822</v>
      </c>
    </row>
    <row r="116" spans="2:6" s="37" customFormat="1" ht="25">
      <c r="B116" s="82" t="s">
        <v>882</v>
      </c>
      <c r="C116" s="114">
        <v>557000</v>
      </c>
      <c r="D116" s="37" t="s">
        <v>76</v>
      </c>
      <c r="E116" s="115" t="s">
        <v>823</v>
      </c>
      <c r="F116" s="115" t="s">
        <v>822</v>
      </c>
    </row>
    <row r="117" spans="2:6" s="37" customFormat="1" ht="25">
      <c r="B117" s="82" t="s">
        <v>883</v>
      </c>
      <c r="C117" s="114">
        <v>616000</v>
      </c>
      <c r="D117" s="37" t="s">
        <v>76</v>
      </c>
      <c r="E117" s="115" t="s">
        <v>823</v>
      </c>
      <c r="F117" s="115" t="s">
        <v>822</v>
      </c>
    </row>
    <row r="118" spans="2:6" s="37" customFormat="1" ht="25">
      <c r="B118" s="82" t="s">
        <v>884</v>
      </c>
      <c r="C118" s="114">
        <v>428000</v>
      </c>
      <c r="D118" s="37" t="s">
        <v>76</v>
      </c>
      <c r="E118" s="115" t="s">
        <v>823</v>
      </c>
      <c r="F118" s="115" t="s">
        <v>822</v>
      </c>
    </row>
    <row r="119" spans="2:6" s="37" customFormat="1" ht="25">
      <c r="B119" s="82" t="s">
        <v>885</v>
      </c>
      <c r="C119" s="114">
        <v>461000</v>
      </c>
      <c r="D119" s="37" t="s">
        <v>76</v>
      </c>
      <c r="E119" s="115" t="s">
        <v>823</v>
      </c>
      <c r="F119" s="115" t="s">
        <v>822</v>
      </c>
    </row>
    <row r="120" spans="2:6" s="37" customFormat="1" ht="25">
      <c r="B120" s="82" t="s">
        <v>886</v>
      </c>
      <c r="C120" s="114">
        <v>507000</v>
      </c>
      <c r="D120" s="37" t="s">
        <v>76</v>
      </c>
      <c r="E120" s="115" t="s">
        <v>823</v>
      </c>
      <c r="F120" s="115" t="s">
        <v>822</v>
      </c>
    </row>
    <row r="121" spans="2:6" s="37" customFormat="1" ht="25">
      <c r="B121" s="82" t="s">
        <v>887</v>
      </c>
      <c r="C121" s="114">
        <v>566000</v>
      </c>
      <c r="D121" s="37" t="s">
        <v>76</v>
      </c>
      <c r="E121" s="115" t="s">
        <v>823</v>
      </c>
      <c r="F121" s="115" t="s">
        <v>822</v>
      </c>
    </row>
    <row r="122" spans="2:6" s="37" customFormat="1" ht="25">
      <c r="B122" s="82" t="s">
        <v>888</v>
      </c>
      <c r="C122" s="114">
        <v>625000</v>
      </c>
      <c r="D122" s="37" t="s">
        <v>76</v>
      </c>
      <c r="E122" s="115" t="s">
        <v>823</v>
      </c>
      <c r="F122" s="115" t="s">
        <v>822</v>
      </c>
    </row>
    <row r="123" spans="2:6" s="37" customFormat="1" ht="25">
      <c r="B123" s="82" t="s">
        <v>889</v>
      </c>
      <c r="C123" s="114">
        <v>685000</v>
      </c>
      <c r="D123" s="37" t="s">
        <v>76</v>
      </c>
      <c r="E123" s="115" t="s">
        <v>823</v>
      </c>
      <c r="F123" s="115" t="s">
        <v>822</v>
      </c>
    </row>
    <row r="124" spans="2:6" s="37" customFormat="1" ht="25">
      <c r="B124" s="82" t="s">
        <v>890</v>
      </c>
      <c r="C124" s="114">
        <v>744000</v>
      </c>
      <c r="D124" s="37" t="s">
        <v>76</v>
      </c>
      <c r="E124" s="115" t="s">
        <v>823</v>
      </c>
      <c r="F124" s="115" t="s">
        <v>822</v>
      </c>
    </row>
    <row r="125" spans="2:6" s="37" customFormat="1" ht="25">
      <c r="B125" s="82" t="s">
        <v>891</v>
      </c>
      <c r="C125" s="114">
        <v>556000</v>
      </c>
      <c r="D125" s="37" t="s">
        <v>76</v>
      </c>
      <c r="E125" s="115" t="s">
        <v>823</v>
      </c>
      <c r="F125" s="115" t="s">
        <v>822</v>
      </c>
    </row>
    <row r="126" spans="2:6" s="37" customFormat="1" ht="25">
      <c r="B126" s="82" t="s">
        <v>892</v>
      </c>
      <c r="C126" s="114">
        <v>589000</v>
      </c>
      <c r="D126" s="37" t="s">
        <v>76</v>
      </c>
      <c r="E126" s="115" t="s">
        <v>823</v>
      </c>
      <c r="F126" s="115" t="s">
        <v>822</v>
      </c>
    </row>
    <row r="127" spans="2:6" s="37" customFormat="1" ht="25">
      <c r="B127" s="82" t="s">
        <v>893</v>
      </c>
      <c r="C127" s="114">
        <v>634000</v>
      </c>
      <c r="D127" s="37" t="s">
        <v>76</v>
      </c>
      <c r="E127" s="115" t="s">
        <v>823</v>
      </c>
      <c r="F127" s="115" t="s">
        <v>822</v>
      </c>
    </row>
    <row r="128" spans="2:6" s="37" customFormat="1" ht="25">
      <c r="B128" s="82" t="s">
        <v>894</v>
      </c>
      <c r="C128" s="114">
        <v>694000</v>
      </c>
      <c r="D128" s="37" t="s">
        <v>76</v>
      </c>
      <c r="E128" s="115" t="s">
        <v>823</v>
      </c>
      <c r="F128" s="115" t="s">
        <v>822</v>
      </c>
    </row>
    <row r="129" spans="2:6" s="37" customFormat="1" ht="25">
      <c r="B129" s="82" t="s">
        <v>895</v>
      </c>
      <c r="C129" s="114">
        <v>753000</v>
      </c>
      <c r="D129" s="37" t="s">
        <v>76</v>
      </c>
      <c r="E129" s="115" t="s">
        <v>823</v>
      </c>
      <c r="F129" s="115" t="s">
        <v>822</v>
      </c>
    </row>
    <row r="130" spans="2:6" s="37" customFormat="1" ht="25">
      <c r="B130" s="82" t="s">
        <v>896</v>
      </c>
      <c r="C130" s="114">
        <v>813000</v>
      </c>
      <c r="D130" s="37" t="s">
        <v>76</v>
      </c>
      <c r="E130" s="115" t="s">
        <v>823</v>
      </c>
      <c r="F130" s="115" t="s">
        <v>822</v>
      </c>
    </row>
    <row r="131" spans="2:6" s="37" customFormat="1" ht="25">
      <c r="B131" s="82" t="s">
        <v>897</v>
      </c>
      <c r="C131" s="114">
        <v>872000</v>
      </c>
      <c r="D131" s="37" t="s">
        <v>76</v>
      </c>
      <c r="E131" s="115" t="s">
        <v>823</v>
      </c>
      <c r="F131" s="115" t="s">
        <v>822</v>
      </c>
    </row>
    <row r="132" spans="2:6" s="37" customFormat="1" ht="25">
      <c r="B132" s="82" t="s">
        <v>898</v>
      </c>
      <c r="C132" s="114">
        <v>684000</v>
      </c>
      <c r="D132" s="37" t="s">
        <v>76</v>
      </c>
      <c r="E132" s="115" t="s">
        <v>823</v>
      </c>
      <c r="F132" s="115" t="s">
        <v>822</v>
      </c>
    </row>
    <row r="133" spans="2:6" s="37" customFormat="1" ht="25">
      <c r="B133" s="82" t="s">
        <v>899</v>
      </c>
      <c r="C133" s="114">
        <v>717000</v>
      </c>
      <c r="D133" s="37" t="s">
        <v>76</v>
      </c>
      <c r="E133" s="115" t="s">
        <v>823</v>
      </c>
      <c r="F133" s="115" t="s">
        <v>822</v>
      </c>
    </row>
    <row r="134" spans="2:6" s="37" customFormat="1" ht="25">
      <c r="B134" s="82" t="s">
        <v>900</v>
      </c>
      <c r="C134" s="114">
        <v>762000</v>
      </c>
      <c r="D134" s="37" t="s">
        <v>76</v>
      </c>
      <c r="E134" s="115" t="s">
        <v>823</v>
      </c>
      <c r="F134" s="115" t="s">
        <v>822</v>
      </c>
    </row>
    <row r="135" spans="2:6" s="37" customFormat="1" ht="25">
      <c r="B135" s="82" t="s">
        <v>901</v>
      </c>
      <c r="C135" s="114">
        <v>822000</v>
      </c>
      <c r="D135" s="37" t="s">
        <v>76</v>
      </c>
      <c r="E135" s="115" t="s">
        <v>823</v>
      </c>
      <c r="F135" s="115" t="s">
        <v>822</v>
      </c>
    </row>
    <row r="136" spans="2:6" s="37" customFormat="1" ht="25">
      <c r="B136" s="82" t="s">
        <v>902</v>
      </c>
      <c r="C136" s="114">
        <v>881000</v>
      </c>
      <c r="D136" s="37" t="s">
        <v>76</v>
      </c>
      <c r="E136" s="115" t="s">
        <v>823</v>
      </c>
      <c r="F136" s="115" t="s">
        <v>822</v>
      </c>
    </row>
    <row r="137" spans="2:6" s="37" customFormat="1" ht="25">
      <c r="B137" s="82" t="s">
        <v>903</v>
      </c>
      <c r="C137" s="114">
        <v>941000</v>
      </c>
      <c r="D137" s="37" t="s">
        <v>76</v>
      </c>
      <c r="E137" s="115" t="s">
        <v>823</v>
      </c>
      <c r="F137" s="115" t="s">
        <v>822</v>
      </c>
    </row>
    <row r="138" spans="2:6" s="37" customFormat="1" ht="25">
      <c r="B138" s="82" t="s">
        <v>904</v>
      </c>
      <c r="C138" s="114">
        <v>1000000</v>
      </c>
      <c r="D138" s="37" t="s">
        <v>76</v>
      </c>
      <c r="E138" s="115" t="s">
        <v>823</v>
      </c>
      <c r="F138" s="115" t="s">
        <v>822</v>
      </c>
    </row>
    <row r="139" spans="2:6" s="37" customFormat="1" ht="25">
      <c r="B139" s="82" t="s">
        <v>905</v>
      </c>
      <c r="C139" s="114">
        <v>812000</v>
      </c>
      <c r="D139" s="37" t="s">
        <v>76</v>
      </c>
      <c r="E139" s="115" t="s">
        <v>823</v>
      </c>
      <c r="F139" s="115" t="s">
        <v>822</v>
      </c>
    </row>
    <row r="140" spans="2:6" s="37" customFormat="1" ht="25">
      <c r="B140" s="82" t="s">
        <v>906</v>
      </c>
      <c r="C140" s="114">
        <v>845000</v>
      </c>
      <c r="D140" s="37" t="s">
        <v>76</v>
      </c>
      <c r="E140" s="115" t="s">
        <v>823</v>
      </c>
      <c r="F140" s="115" t="s">
        <v>822</v>
      </c>
    </row>
    <row r="141" spans="2:6" s="37" customFormat="1" ht="25">
      <c r="B141" s="82" t="s">
        <v>907</v>
      </c>
      <c r="C141" s="114">
        <v>890000</v>
      </c>
      <c r="D141" s="37" t="s">
        <v>76</v>
      </c>
      <c r="E141" s="115" t="s">
        <v>823</v>
      </c>
      <c r="F141" s="115" t="s">
        <v>822</v>
      </c>
    </row>
    <row r="142" spans="2:6" s="37" customFormat="1" ht="25">
      <c r="B142" s="82" t="s">
        <v>908</v>
      </c>
      <c r="C142" s="114">
        <v>950000</v>
      </c>
      <c r="D142" s="37" t="s">
        <v>76</v>
      </c>
      <c r="E142" s="115" t="s">
        <v>823</v>
      </c>
      <c r="F142" s="115" t="s">
        <v>822</v>
      </c>
    </row>
    <row r="143" spans="2:6" s="37" customFormat="1" ht="25">
      <c r="B143" s="82" t="s">
        <v>909</v>
      </c>
      <c r="C143" s="114">
        <v>1009000</v>
      </c>
      <c r="D143" s="37" t="s">
        <v>76</v>
      </c>
      <c r="E143" s="115" t="s">
        <v>823</v>
      </c>
      <c r="F143" s="115" t="s">
        <v>822</v>
      </c>
    </row>
    <row r="144" spans="2:6" s="37" customFormat="1" ht="25">
      <c r="B144" s="82" t="s">
        <v>910</v>
      </c>
      <c r="C144" s="114">
        <v>1068000</v>
      </c>
      <c r="D144" s="37" t="s">
        <v>76</v>
      </c>
      <c r="E144" s="115" t="s">
        <v>823</v>
      </c>
      <c r="F144" s="115" t="s">
        <v>822</v>
      </c>
    </row>
    <row r="145" spans="2:6" s="37" customFormat="1" ht="25">
      <c r="B145" s="82" t="s">
        <v>911</v>
      </c>
      <c r="C145" s="114">
        <v>1128000</v>
      </c>
      <c r="D145" s="37" t="s">
        <v>76</v>
      </c>
      <c r="E145" s="115" t="s">
        <v>823</v>
      </c>
      <c r="F145" s="115" t="s">
        <v>822</v>
      </c>
    </row>
    <row r="146" spans="2:6" s="37" customFormat="1" ht="25">
      <c r="B146" s="82" t="s">
        <v>912</v>
      </c>
      <c r="C146" s="114">
        <v>207000</v>
      </c>
      <c r="D146" s="37" t="s">
        <v>76</v>
      </c>
      <c r="E146" s="115" t="s">
        <v>823</v>
      </c>
      <c r="F146" s="115" t="s">
        <v>822</v>
      </c>
    </row>
    <row r="147" spans="2:6" s="37" customFormat="1" ht="25">
      <c r="B147" s="82" t="s">
        <v>913</v>
      </c>
      <c r="C147" s="114">
        <v>246000</v>
      </c>
      <c r="D147" s="37" t="s">
        <v>76</v>
      </c>
      <c r="E147" s="115" t="s">
        <v>823</v>
      </c>
      <c r="F147" s="115" t="s">
        <v>822</v>
      </c>
    </row>
    <row r="148" spans="2:6" s="37" customFormat="1" ht="25">
      <c r="B148" s="82" t="s">
        <v>914</v>
      </c>
      <c r="C148" s="114">
        <v>301000</v>
      </c>
      <c r="D148" s="37" t="s">
        <v>76</v>
      </c>
      <c r="E148" s="115" t="s">
        <v>823</v>
      </c>
      <c r="F148" s="115" t="s">
        <v>822</v>
      </c>
    </row>
    <row r="149" spans="2:6" s="37" customFormat="1" ht="25">
      <c r="B149" s="82" t="s">
        <v>915</v>
      </c>
      <c r="C149" s="114">
        <v>372000</v>
      </c>
      <c r="D149" s="37" t="s">
        <v>76</v>
      </c>
      <c r="E149" s="115" t="s">
        <v>823</v>
      </c>
      <c r="F149" s="115" t="s">
        <v>822</v>
      </c>
    </row>
    <row r="150" spans="2:6" s="37" customFormat="1" ht="25">
      <c r="B150" s="82" t="s">
        <v>916</v>
      </c>
      <c r="C150" s="114">
        <v>443000</v>
      </c>
      <c r="D150" s="37" t="s">
        <v>76</v>
      </c>
      <c r="E150" s="115" t="s">
        <v>823</v>
      </c>
      <c r="F150" s="115" t="s">
        <v>822</v>
      </c>
    </row>
    <row r="151" spans="2:6" s="37" customFormat="1" ht="25">
      <c r="B151" s="82" t="s">
        <v>917</v>
      </c>
      <c r="C151" s="114">
        <v>515000</v>
      </c>
      <c r="D151" s="37" t="s">
        <v>76</v>
      </c>
      <c r="E151" s="115" t="s">
        <v>823</v>
      </c>
      <c r="F151" s="115" t="s">
        <v>822</v>
      </c>
    </row>
    <row r="152" spans="2:6" s="37" customFormat="1" ht="25">
      <c r="B152" s="82" t="s">
        <v>918</v>
      </c>
      <c r="C152" s="114">
        <v>586000</v>
      </c>
      <c r="D152" s="37" t="s">
        <v>76</v>
      </c>
      <c r="E152" s="115" t="s">
        <v>823</v>
      </c>
      <c r="F152" s="115" t="s">
        <v>822</v>
      </c>
    </row>
    <row r="153" spans="2:6" s="37" customFormat="1" ht="25">
      <c r="B153" s="82" t="s">
        <v>919</v>
      </c>
      <c r="C153" s="114">
        <v>361000</v>
      </c>
      <c r="D153" s="37" t="s">
        <v>76</v>
      </c>
      <c r="E153" s="115" t="s">
        <v>823</v>
      </c>
      <c r="F153" s="115" t="s">
        <v>822</v>
      </c>
    </row>
    <row r="154" spans="2:6" s="37" customFormat="1" ht="25">
      <c r="B154" s="82" t="s">
        <v>920</v>
      </c>
      <c r="C154" s="114">
        <v>400000</v>
      </c>
      <c r="D154" s="37" t="s">
        <v>76</v>
      </c>
      <c r="E154" s="115" t="s">
        <v>823</v>
      </c>
      <c r="F154" s="115" t="s">
        <v>822</v>
      </c>
    </row>
    <row r="155" spans="2:6" s="37" customFormat="1" ht="25">
      <c r="B155" s="82" t="s">
        <v>921</v>
      </c>
      <c r="C155" s="114">
        <v>454000</v>
      </c>
      <c r="D155" s="37" t="s">
        <v>76</v>
      </c>
      <c r="E155" s="115" t="s">
        <v>823</v>
      </c>
      <c r="F155" s="115" t="s">
        <v>822</v>
      </c>
    </row>
    <row r="156" spans="2:6" s="37" customFormat="1" ht="25">
      <c r="B156" s="82" t="s">
        <v>922</v>
      </c>
      <c r="C156" s="114">
        <v>526000</v>
      </c>
      <c r="D156" s="37" t="s">
        <v>76</v>
      </c>
      <c r="E156" s="115" t="s">
        <v>823</v>
      </c>
      <c r="F156" s="115" t="s">
        <v>822</v>
      </c>
    </row>
    <row r="157" spans="2:6" s="37" customFormat="1" ht="25">
      <c r="B157" s="82" t="s">
        <v>923</v>
      </c>
      <c r="C157" s="114">
        <v>597000</v>
      </c>
      <c r="D157" s="37" t="s">
        <v>76</v>
      </c>
      <c r="E157" s="115" t="s">
        <v>823</v>
      </c>
      <c r="F157" s="115" t="s">
        <v>822</v>
      </c>
    </row>
    <row r="158" spans="2:6" s="37" customFormat="1" ht="25">
      <c r="B158" s="82" t="s">
        <v>924</v>
      </c>
      <c r="C158" s="114">
        <v>668000</v>
      </c>
      <c r="D158" s="37" t="s">
        <v>76</v>
      </c>
      <c r="E158" s="115" t="s">
        <v>823</v>
      </c>
      <c r="F158" s="115" t="s">
        <v>822</v>
      </c>
    </row>
    <row r="159" spans="2:6" s="37" customFormat="1" ht="25">
      <c r="B159" s="82" t="s">
        <v>925</v>
      </c>
      <c r="C159" s="114">
        <v>739000</v>
      </c>
      <c r="D159" s="37" t="s">
        <v>76</v>
      </c>
      <c r="E159" s="115" t="s">
        <v>823</v>
      </c>
      <c r="F159" s="115" t="s">
        <v>822</v>
      </c>
    </row>
    <row r="160" spans="2:6" s="37" customFormat="1" ht="25">
      <c r="B160" s="82" t="s">
        <v>926</v>
      </c>
      <c r="C160" s="114">
        <v>514000</v>
      </c>
      <c r="D160" s="37" t="s">
        <v>76</v>
      </c>
      <c r="E160" s="115" t="s">
        <v>823</v>
      </c>
      <c r="F160" s="115" t="s">
        <v>822</v>
      </c>
    </row>
    <row r="161" spans="2:6" s="37" customFormat="1" ht="25">
      <c r="B161" s="82" t="s">
        <v>927</v>
      </c>
      <c r="C161" s="114">
        <v>553000</v>
      </c>
      <c r="D161" s="37" t="s">
        <v>76</v>
      </c>
      <c r="E161" s="115" t="s">
        <v>823</v>
      </c>
      <c r="F161" s="115" t="s">
        <v>822</v>
      </c>
    </row>
    <row r="162" spans="2:6" s="37" customFormat="1" ht="25">
      <c r="B162" s="82" t="s">
        <v>928</v>
      </c>
      <c r="C162" s="114">
        <v>608000</v>
      </c>
      <c r="D162" s="37" t="s">
        <v>76</v>
      </c>
      <c r="E162" s="115" t="s">
        <v>823</v>
      </c>
      <c r="F162" s="115" t="s">
        <v>822</v>
      </c>
    </row>
    <row r="163" spans="2:6" s="37" customFormat="1" ht="25">
      <c r="B163" s="82" t="s">
        <v>929</v>
      </c>
      <c r="C163" s="114">
        <v>679000</v>
      </c>
      <c r="D163" s="37" t="s">
        <v>76</v>
      </c>
      <c r="E163" s="115" t="s">
        <v>823</v>
      </c>
      <c r="F163" s="115" t="s">
        <v>822</v>
      </c>
    </row>
    <row r="164" spans="2:6" s="37" customFormat="1" ht="25">
      <c r="B164" s="82" t="s">
        <v>930</v>
      </c>
      <c r="C164" s="114">
        <v>750000</v>
      </c>
      <c r="D164" s="37" t="s">
        <v>76</v>
      </c>
      <c r="E164" s="115" t="s">
        <v>823</v>
      </c>
      <c r="F164" s="115" t="s">
        <v>822</v>
      </c>
    </row>
    <row r="165" spans="2:6" s="37" customFormat="1" ht="25">
      <c r="B165" s="82" t="s">
        <v>931</v>
      </c>
      <c r="C165" s="114">
        <v>822000</v>
      </c>
      <c r="D165" s="37" t="s">
        <v>76</v>
      </c>
      <c r="E165" s="115" t="s">
        <v>823</v>
      </c>
      <c r="F165" s="115" t="s">
        <v>822</v>
      </c>
    </row>
    <row r="166" spans="2:6" s="37" customFormat="1" ht="25">
      <c r="B166" s="82" t="s">
        <v>932</v>
      </c>
      <c r="C166" s="114">
        <v>893000</v>
      </c>
      <c r="D166" s="37" t="s">
        <v>76</v>
      </c>
      <c r="E166" s="115" t="s">
        <v>823</v>
      </c>
      <c r="F166" s="115" t="s">
        <v>822</v>
      </c>
    </row>
    <row r="167" spans="2:6" s="37" customFormat="1" ht="25">
      <c r="B167" s="82" t="s">
        <v>933</v>
      </c>
      <c r="C167" s="114">
        <v>667000</v>
      </c>
      <c r="D167" s="37" t="s">
        <v>76</v>
      </c>
      <c r="E167" s="115" t="s">
        <v>823</v>
      </c>
      <c r="F167" s="115" t="s">
        <v>822</v>
      </c>
    </row>
    <row r="168" spans="2:6" s="37" customFormat="1" ht="25">
      <c r="B168" s="82" t="s">
        <v>934</v>
      </c>
      <c r="C168" s="114">
        <v>706000</v>
      </c>
      <c r="D168" s="37" t="s">
        <v>76</v>
      </c>
      <c r="E168" s="115" t="s">
        <v>823</v>
      </c>
      <c r="F168" s="115" t="s">
        <v>822</v>
      </c>
    </row>
    <row r="169" spans="2:6" s="37" customFormat="1" ht="25">
      <c r="B169" s="82" t="s">
        <v>935</v>
      </c>
      <c r="C169" s="114">
        <v>761000</v>
      </c>
      <c r="D169" s="37" t="s">
        <v>76</v>
      </c>
      <c r="E169" s="115" t="s">
        <v>823</v>
      </c>
      <c r="F169" s="115" t="s">
        <v>822</v>
      </c>
    </row>
    <row r="170" spans="2:6" s="37" customFormat="1" ht="25">
      <c r="B170" s="82" t="s">
        <v>936</v>
      </c>
      <c r="C170" s="114">
        <v>833000</v>
      </c>
      <c r="D170" s="37" t="s">
        <v>76</v>
      </c>
      <c r="E170" s="115" t="s">
        <v>823</v>
      </c>
      <c r="F170" s="115" t="s">
        <v>822</v>
      </c>
    </row>
    <row r="171" spans="2:6" s="37" customFormat="1" ht="25">
      <c r="B171" s="82" t="s">
        <v>937</v>
      </c>
      <c r="C171" s="114">
        <v>904000</v>
      </c>
      <c r="D171" s="37" t="s">
        <v>76</v>
      </c>
      <c r="E171" s="115" t="s">
        <v>823</v>
      </c>
      <c r="F171" s="115" t="s">
        <v>822</v>
      </c>
    </row>
    <row r="172" spans="2:6" s="37" customFormat="1" ht="25">
      <c r="B172" s="82" t="s">
        <v>938</v>
      </c>
      <c r="C172" s="114">
        <v>975000</v>
      </c>
      <c r="D172" s="37" t="s">
        <v>76</v>
      </c>
      <c r="E172" s="115" t="s">
        <v>823</v>
      </c>
      <c r="F172" s="115" t="s">
        <v>822</v>
      </c>
    </row>
    <row r="173" spans="2:6" s="37" customFormat="1" ht="25">
      <c r="B173" s="82" t="s">
        <v>939</v>
      </c>
      <c r="C173" s="114">
        <v>1046000</v>
      </c>
      <c r="D173" s="37" t="s">
        <v>76</v>
      </c>
      <c r="E173" s="115" t="s">
        <v>823</v>
      </c>
      <c r="F173" s="115" t="s">
        <v>822</v>
      </c>
    </row>
    <row r="174" spans="2:6" s="37" customFormat="1" ht="25">
      <c r="B174" s="82" t="s">
        <v>940</v>
      </c>
      <c r="C174" s="114">
        <v>821000</v>
      </c>
      <c r="D174" s="37" t="s">
        <v>76</v>
      </c>
      <c r="E174" s="115" t="s">
        <v>823</v>
      </c>
      <c r="F174" s="115" t="s">
        <v>822</v>
      </c>
    </row>
    <row r="175" spans="2:6" s="37" customFormat="1" ht="25">
      <c r="B175" s="82" t="s">
        <v>941</v>
      </c>
      <c r="C175" s="114">
        <v>860000</v>
      </c>
      <c r="D175" s="37" t="s">
        <v>76</v>
      </c>
      <c r="E175" s="115" t="s">
        <v>823</v>
      </c>
      <c r="F175" s="115" t="s">
        <v>822</v>
      </c>
    </row>
    <row r="176" spans="2:6" s="37" customFormat="1" ht="25">
      <c r="B176" s="82" t="s">
        <v>942</v>
      </c>
      <c r="C176" s="114">
        <v>915000</v>
      </c>
      <c r="D176" s="37" t="s">
        <v>76</v>
      </c>
      <c r="E176" s="115" t="s">
        <v>823</v>
      </c>
      <c r="F176" s="115" t="s">
        <v>822</v>
      </c>
    </row>
    <row r="177" spans="2:6" s="37" customFormat="1" ht="25">
      <c r="B177" s="82" t="s">
        <v>943</v>
      </c>
      <c r="C177" s="114">
        <v>986000</v>
      </c>
      <c r="D177" s="37" t="s">
        <v>76</v>
      </c>
      <c r="E177" s="115" t="s">
        <v>823</v>
      </c>
      <c r="F177" s="115" t="s">
        <v>822</v>
      </c>
    </row>
    <row r="178" spans="2:6" s="37" customFormat="1" ht="25">
      <c r="B178" s="82" t="s">
        <v>944</v>
      </c>
      <c r="C178" s="114">
        <v>1057000</v>
      </c>
      <c r="D178" s="37" t="s">
        <v>76</v>
      </c>
      <c r="E178" s="115" t="s">
        <v>823</v>
      </c>
      <c r="F178" s="115" t="s">
        <v>822</v>
      </c>
    </row>
    <row r="179" spans="2:6" s="37" customFormat="1" ht="25">
      <c r="B179" s="82" t="s">
        <v>945</v>
      </c>
      <c r="C179" s="114">
        <v>1129000</v>
      </c>
      <c r="D179" s="37" t="s">
        <v>76</v>
      </c>
      <c r="E179" s="115" t="s">
        <v>823</v>
      </c>
      <c r="F179" s="115" t="s">
        <v>822</v>
      </c>
    </row>
    <row r="180" spans="2:6" s="37" customFormat="1" ht="25">
      <c r="B180" s="82" t="s">
        <v>946</v>
      </c>
      <c r="C180" s="114">
        <v>1200000</v>
      </c>
      <c r="D180" s="37" t="s">
        <v>76</v>
      </c>
      <c r="E180" s="115" t="s">
        <v>823</v>
      </c>
      <c r="F180" s="115" t="s">
        <v>822</v>
      </c>
    </row>
    <row r="181" spans="2:6" s="37" customFormat="1" ht="25">
      <c r="B181" s="82" t="s">
        <v>947</v>
      </c>
      <c r="C181" s="114">
        <v>974000</v>
      </c>
      <c r="D181" s="37" t="s">
        <v>76</v>
      </c>
      <c r="E181" s="115" t="s">
        <v>823</v>
      </c>
      <c r="F181" s="115" t="s">
        <v>822</v>
      </c>
    </row>
    <row r="182" spans="2:6" s="37" customFormat="1" ht="25">
      <c r="B182" s="82" t="s">
        <v>948</v>
      </c>
      <c r="C182" s="114">
        <v>1013000</v>
      </c>
      <c r="D182" s="37" t="s">
        <v>76</v>
      </c>
      <c r="E182" s="115" t="s">
        <v>823</v>
      </c>
      <c r="F182" s="115" t="s">
        <v>822</v>
      </c>
    </row>
    <row r="183" spans="2:6" s="37" customFormat="1" ht="25">
      <c r="B183" s="82" t="s">
        <v>949</v>
      </c>
      <c r="C183" s="114">
        <v>1068000</v>
      </c>
      <c r="D183" s="37" t="s">
        <v>76</v>
      </c>
      <c r="E183" s="115" t="s">
        <v>823</v>
      </c>
      <c r="F183" s="115" t="s">
        <v>822</v>
      </c>
    </row>
    <row r="184" spans="2:6" s="37" customFormat="1" ht="25">
      <c r="B184" s="82" t="s">
        <v>950</v>
      </c>
      <c r="C184" s="114">
        <v>1139000</v>
      </c>
      <c r="D184" s="37" t="s">
        <v>76</v>
      </c>
      <c r="E184" s="115" t="s">
        <v>823</v>
      </c>
      <c r="F184" s="115" t="s">
        <v>822</v>
      </c>
    </row>
    <row r="185" spans="2:6" s="37" customFormat="1" ht="25">
      <c r="B185" s="82" t="s">
        <v>951</v>
      </c>
      <c r="C185" s="114">
        <v>1211000</v>
      </c>
      <c r="D185" s="37" t="s">
        <v>76</v>
      </c>
      <c r="E185" s="115" t="s">
        <v>823</v>
      </c>
      <c r="F185" s="115" t="s">
        <v>822</v>
      </c>
    </row>
    <row r="186" spans="2:6" s="37" customFormat="1" ht="25">
      <c r="B186" s="82" t="s">
        <v>952</v>
      </c>
      <c r="C186" s="114">
        <v>1282000</v>
      </c>
      <c r="D186" s="37" t="s">
        <v>76</v>
      </c>
      <c r="E186" s="115" t="s">
        <v>823</v>
      </c>
      <c r="F186" s="115" t="s">
        <v>822</v>
      </c>
    </row>
    <row r="187" spans="2:6" s="37" customFormat="1" ht="25">
      <c r="B187" s="82" t="s">
        <v>596</v>
      </c>
      <c r="C187" s="114">
        <v>1353000</v>
      </c>
      <c r="D187" s="37" t="s">
        <v>76</v>
      </c>
      <c r="E187" s="115" t="s">
        <v>823</v>
      </c>
      <c r="F187" s="115" t="s">
        <v>822</v>
      </c>
    </row>
  </sheetData>
  <sheetProtection algorithmName="SHA-512" hashValue="I3D4hpwLRbgUiPeW6WFMjYtStwVvUU/akF0PekTGEc/cFRoDlZzMLE7TbRy6KoMiM+7PAWqk6ZZKgzAjaY6SEw==" saltValue="ahMVop64giYWWXM3FXn+0Q==" spinCount="100000" sheet="1" objects="1" scenarios="1" autoFilter="0"/>
  <phoneticPr fontId="7" type="noConversion"/>
  <hyperlinks>
    <hyperlink ref="B3" location="Information" display="Return to Information" xr:uid="{CB0270AD-733C-4C2F-B477-FA365C391E1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260B9-C51D-4804-BCD3-171B091A2640}">
  <sheetPr codeName="Sheet15"/>
  <dimension ref="B2:AT71"/>
  <sheetViews>
    <sheetView showGridLines="0" zoomScale="80" zoomScaleNormal="80" workbookViewId="0">
      <pane xSplit="4" ySplit="5" topLeftCell="E6" activePane="bottomRight" state="frozen"/>
      <selection pane="topRight" activeCell="E1" sqref="E1"/>
      <selection pane="bottomLeft" activeCell="A6" sqref="A6"/>
      <selection pane="bottomRight"/>
    </sheetView>
  </sheetViews>
  <sheetFormatPr defaultRowHeight="14.5"/>
  <cols>
    <col min="1" max="1" width="3.453125" style="120" customWidth="1"/>
    <col min="2" max="2" width="41" style="120" customWidth="1"/>
    <col min="3" max="3" width="8.26953125" style="120" bestFit="1" customWidth="1"/>
    <col min="4" max="4" width="12.81640625" style="120" customWidth="1"/>
    <col min="5" max="46" width="13" style="120" customWidth="1"/>
    <col min="47" max="16384" width="8.7265625" style="120"/>
  </cols>
  <sheetData>
    <row r="2" spans="2:46">
      <c r="B2" s="38" t="str">
        <f>Project_Name</f>
        <v>South Australia Oil and Gas Financial Assurance Calculator</v>
      </c>
      <c r="C2" s="37"/>
      <c r="D2" s="37"/>
      <c r="E2" s="37"/>
      <c r="Q2" s="37"/>
      <c r="AC2" s="37"/>
    </row>
    <row r="3" spans="2:46">
      <c r="B3" s="107" t="s">
        <v>24</v>
      </c>
      <c r="C3" s="37"/>
      <c r="D3" s="37"/>
      <c r="E3" s="37"/>
      <c r="Q3" s="37"/>
      <c r="AC3" s="37"/>
    </row>
    <row r="5" spans="2:46" ht="77.150000000000006" customHeight="1">
      <c r="B5" s="5" t="s">
        <v>105</v>
      </c>
      <c r="C5" s="5" t="s">
        <v>39</v>
      </c>
      <c r="D5" s="5"/>
      <c r="E5" s="122" t="str">
        <f>CONCATENATE("Vertical well &gt; ",E$27,"m to &lt;= ",E$28,"m depth, ",E$45," strings / completion, ",E$56," barriers.")</f>
        <v>Vertical well &gt; 0m to &lt;= 500m depth, 1 strings / completion, 1 barriers.</v>
      </c>
      <c r="F5" s="122" t="str">
        <f t="shared" ref="F5:AT5" si="0">CONCATENATE("Vertical well &gt; ",F$27,"m to &lt;= ",F$28,"m depth, ",F$45," strings / completion, ",F56," barriers.")</f>
        <v>Vertical well &gt; 500m to &lt;= 1000m depth, 1 strings / completion, 1 barriers.</v>
      </c>
      <c r="G5" s="122" t="str">
        <f t="shared" si="0"/>
        <v>Vertical well &gt; 1000m to &lt;= 2000m depth, 1 strings / completion, 1 barriers.</v>
      </c>
      <c r="H5" s="122" t="str">
        <f t="shared" si="0"/>
        <v>Vertical well &gt; 2000m to &lt;= 3000m depth, 1 strings / completion, 1 barriers.</v>
      </c>
      <c r="I5" s="122" t="str">
        <f t="shared" si="0"/>
        <v>Vertical well &gt; 3000m to &lt;= 4000m depth, 1 strings / completion, 1 barriers.</v>
      </c>
      <c r="J5" s="122" t="str">
        <f>CONCATENATE("Vertical well &gt; ",J$27,"m to &lt;= ",J$28,"m depth, ",J$45," strings / completion, ",J56," barriers.")</f>
        <v>Vertical well &gt; 4000m to &lt;= 5000m depth, 1 strings / completion, 1 barriers.</v>
      </c>
      <c r="K5" s="122" t="str">
        <f t="shared" si="0"/>
        <v>Vertical well &gt; 5000m to &lt;= 6000m depth, 1 strings / completion, 1 barriers.</v>
      </c>
      <c r="L5" s="122" t="str">
        <f t="shared" si="0"/>
        <v>Vertical well &gt; 0m to &lt;= 500m depth, 1 strings / completion, 2 barriers.</v>
      </c>
      <c r="M5" s="122" t="str">
        <f t="shared" si="0"/>
        <v>Vertical well &gt; 500m to &lt;= 1000m depth, 1 strings / completion, 2 barriers.</v>
      </c>
      <c r="N5" s="122" t="str">
        <f t="shared" si="0"/>
        <v>Vertical well &gt; 1000m to &lt;= 2000m depth, 1 strings / completion, 2 barriers.</v>
      </c>
      <c r="O5" s="122" t="str">
        <f t="shared" si="0"/>
        <v>Vertical well &gt; 2000m to &lt;= 3000m depth, 1 strings / completion, 2 barriers.</v>
      </c>
      <c r="P5" s="122" t="str">
        <f t="shared" si="0"/>
        <v>Vertical well &gt; 3000m to &lt;= 4000m depth, 1 strings / completion, 2 barriers.</v>
      </c>
      <c r="Q5" s="122" t="str">
        <f t="shared" si="0"/>
        <v>Vertical well &gt; 4000m to &lt;= 5000m depth, 1 strings / completion, 2 barriers.</v>
      </c>
      <c r="R5" s="122" t="str">
        <f t="shared" si="0"/>
        <v>Vertical well &gt; 5000m to &lt;= 6000m depth, 1 strings / completion, 2 barriers.</v>
      </c>
      <c r="S5" s="122" t="str">
        <f t="shared" si="0"/>
        <v>Vertical well &gt; 0m to &lt;= 500m depth, 1 strings / completion, 3 barriers.</v>
      </c>
      <c r="T5" s="122" t="str">
        <f t="shared" si="0"/>
        <v>Vertical well &gt; 500m to &lt;= 1000m depth, 1 strings / completion, 3 barriers.</v>
      </c>
      <c r="U5" s="122" t="str">
        <f t="shared" si="0"/>
        <v>Vertical well &gt; 1000m to &lt;= 2000m depth, 1 strings / completion, 3 barriers.</v>
      </c>
      <c r="V5" s="122" t="str">
        <f t="shared" si="0"/>
        <v>Vertical well &gt; 2000m to &lt;= 3000m depth, 1 strings / completion, 3 barriers.</v>
      </c>
      <c r="W5" s="122" t="str">
        <f t="shared" si="0"/>
        <v>Vertical well &gt; 3000m to &lt;= 4000m depth, 1 strings / completion, 3 barriers.</v>
      </c>
      <c r="X5" s="122" t="str">
        <f t="shared" si="0"/>
        <v>Vertical well &gt; 4000m to &lt;= 5000m depth, 1 strings / completion, 3 barriers.</v>
      </c>
      <c r="Y5" s="122" t="str">
        <f t="shared" si="0"/>
        <v>Vertical well &gt; 5000m to &lt;= 6000m depth, 1 strings / completion, 3 barriers.</v>
      </c>
      <c r="Z5" s="122" t="str">
        <f t="shared" si="0"/>
        <v>Vertical well &gt; 0m to &lt;= 500m depth, 1 strings / completion, 4 barriers.</v>
      </c>
      <c r="AA5" s="122" t="str">
        <f t="shared" si="0"/>
        <v>Vertical well &gt; 500m to &lt;= 1000m depth, 1 strings / completion, 4 barriers.</v>
      </c>
      <c r="AB5" s="122" t="str">
        <f t="shared" si="0"/>
        <v>Vertical well &gt; 1000m to &lt;= 2000m depth, 1 strings / completion, 4 barriers.</v>
      </c>
      <c r="AC5" s="122" t="str">
        <f t="shared" si="0"/>
        <v>Vertical well &gt; 2000m to &lt;= 3000m depth, 1 strings / completion, 4 barriers.</v>
      </c>
      <c r="AD5" s="122" t="str">
        <f t="shared" si="0"/>
        <v>Vertical well &gt; 3000m to &lt;= 4000m depth, 1 strings / completion, 4 barriers.</v>
      </c>
      <c r="AE5" s="122" t="str">
        <f t="shared" si="0"/>
        <v>Vertical well &gt; 4000m to &lt;= 5000m depth, 1 strings / completion, 4 barriers.</v>
      </c>
      <c r="AF5" s="122" t="str">
        <f t="shared" si="0"/>
        <v>Vertical well &gt; 5000m to &lt;= 6000m depth, 1 strings / completion, 4 barriers.</v>
      </c>
      <c r="AG5" s="122" t="str">
        <f t="shared" si="0"/>
        <v>Vertical well &gt; 0m to &lt;= 500m depth, 1 strings / completion, 5 barriers.</v>
      </c>
      <c r="AH5" s="122" t="str">
        <f t="shared" si="0"/>
        <v>Vertical well &gt; 500m to &lt;= 1000m depth, 1 strings / completion, 5 barriers.</v>
      </c>
      <c r="AI5" s="122" t="str">
        <f t="shared" si="0"/>
        <v>Vertical well &gt; 1000m to &lt;= 2000m depth, 1 strings / completion, 5 barriers.</v>
      </c>
      <c r="AJ5" s="122" t="str">
        <f t="shared" si="0"/>
        <v>Vertical well &gt; 2000m to &lt;= 3000m depth, 1 strings / completion, 5 barriers.</v>
      </c>
      <c r="AK5" s="122" t="str">
        <f t="shared" si="0"/>
        <v>Vertical well &gt; 3000m to &lt;= 4000m depth, 1 strings / completion, 5 barriers.</v>
      </c>
      <c r="AL5" s="122" t="str">
        <f t="shared" si="0"/>
        <v>Vertical well &gt; 4000m to &lt;= 5000m depth, 1 strings / completion, 5 barriers.</v>
      </c>
      <c r="AM5" s="122" t="str">
        <f t="shared" si="0"/>
        <v>Vertical well &gt; 5000m to &lt;= 6000m depth, 1 strings / completion, 5 barriers.</v>
      </c>
      <c r="AN5" s="122" t="str">
        <f t="shared" si="0"/>
        <v>Vertical well &gt; 0m to &lt;= 500m depth, 1 strings / completion, 6 barriers.</v>
      </c>
      <c r="AO5" s="122" t="str">
        <f t="shared" si="0"/>
        <v>Vertical well &gt; 500m to &lt;= 1000m depth, 1 strings / completion, 6 barriers.</v>
      </c>
      <c r="AP5" s="122" t="str">
        <f t="shared" si="0"/>
        <v>Vertical well &gt; 1000m to &lt;= 2000m depth, 1 strings / completion, 6 barriers.</v>
      </c>
      <c r="AQ5" s="122" t="str">
        <f t="shared" si="0"/>
        <v>Vertical well &gt; 2000m to &lt;= 3000m depth, 1 strings / completion, 6 barriers.</v>
      </c>
      <c r="AR5" s="122" t="str">
        <f t="shared" si="0"/>
        <v>Vertical well &gt; 3000m to &lt;= 4000m depth, 1 strings / completion, 6 barriers.</v>
      </c>
      <c r="AS5" s="122" t="str">
        <f t="shared" si="0"/>
        <v>Vertical well &gt; 4000m to &lt;= 5000m depth, 1 strings / completion, 6 barriers.</v>
      </c>
      <c r="AT5" s="122" t="str">
        <f t="shared" si="0"/>
        <v>Vertical well &gt; 5000m to &lt;= 6000m depth, 1 strings / completion, 6 barriers.</v>
      </c>
    </row>
    <row r="6" spans="2:46">
      <c r="B6" s="7" t="s">
        <v>106</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2:46">
      <c r="B7" s="1" t="s">
        <v>120</v>
      </c>
      <c r="C7" s="123" t="s">
        <v>76</v>
      </c>
      <c r="D7" s="123"/>
      <c r="E7" s="124">
        <f t="shared" ref="E7:AM7" si="1">E42</f>
        <v>11574.131074995461</v>
      </c>
      <c r="F7" s="124">
        <f t="shared" si="1"/>
        <v>34722.393224986379</v>
      </c>
      <c r="G7" s="124">
        <f t="shared" si="1"/>
        <v>68899.574315123682</v>
      </c>
      <c r="H7" s="124">
        <f t="shared" si="1"/>
        <v>114650.88648025646</v>
      </c>
      <c r="I7" s="124">
        <f t="shared" si="1"/>
        <v>160402.1986453892</v>
      </c>
      <c r="J7" s="124">
        <f t="shared" si="1"/>
        <v>206153.51081052198</v>
      </c>
      <c r="K7" s="124">
        <f t="shared" si="1"/>
        <v>251904.82297565471</v>
      </c>
      <c r="L7" s="124">
        <f t="shared" si="1"/>
        <v>11574.131074995461</v>
      </c>
      <c r="M7" s="124">
        <f t="shared" si="1"/>
        <v>34722.393224986379</v>
      </c>
      <c r="N7" s="124">
        <f t="shared" si="1"/>
        <v>68899.574315123682</v>
      </c>
      <c r="O7" s="124">
        <f t="shared" si="1"/>
        <v>114650.88648025646</v>
      </c>
      <c r="P7" s="124">
        <f t="shared" si="1"/>
        <v>160402.1986453892</v>
      </c>
      <c r="Q7" s="124">
        <f t="shared" si="1"/>
        <v>206153.51081052198</v>
      </c>
      <c r="R7" s="124">
        <f t="shared" si="1"/>
        <v>251904.82297565471</v>
      </c>
      <c r="S7" s="124">
        <f t="shared" si="1"/>
        <v>11574.131074995461</v>
      </c>
      <c r="T7" s="124">
        <f t="shared" si="1"/>
        <v>34722.393224986379</v>
      </c>
      <c r="U7" s="124">
        <f t="shared" si="1"/>
        <v>68899.574315123682</v>
      </c>
      <c r="V7" s="124">
        <f t="shared" si="1"/>
        <v>114650.88648025646</v>
      </c>
      <c r="W7" s="124">
        <f t="shared" si="1"/>
        <v>160402.1986453892</v>
      </c>
      <c r="X7" s="124">
        <f t="shared" si="1"/>
        <v>206153.51081052198</v>
      </c>
      <c r="Y7" s="124">
        <f t="shared" si="1"/>
        <v>251904.82297565471</v>
      </c>
      <c r="Z7" s="124">
        <f t="shared" si="1"/>
        <v>11574.131074995461</v>
      </c>
      <c r="AA7" s="124">
        <f t="shared" si="1"/>
        <v>34722.393224986379</v>
      </c>
      <c r="AB7" s="124">
        <f t="shared" si="1"/>
        <v>68899.574315123682</v>
      </c>
      <c r="AC7" s="124">
        <f t="shared" si="1"/>
        <v>114650.88648025646</v>
      </c>
      <c r="AD7" s="124">
        <f t="shared" si="1"/>
        <v>160402.1986453892</v>
      </c>
      <c r="AE7" s="124">
        <f t="shared" si="1"/>
        <v>206153.51081052198</v>
      </c>
      <c r="AF7" s="124">
        <f t="shared" si="1"/>
        <v>251904.82297565471</v>
      </c>
      <c r="AG7" s="124">
        <f t="shared" si="1"/>
        <v>11574.131074995461</v>
      </c>
      <c r="AH7" s="124">
        <f t="shared" si="1"/>
        <v>34722.393224986379</v>
      </c>
      <c r="AI7" s="124">
        <f t="shared" si="1"/>
        <v>68899.574315123682</v>
      </c>
      <c r="AJ7" s="124">
        <f t="shared" si="1"/>
        <v>114650.88648025646</v>
      </c>
      <c r="AK7" s="124">
        <f t="shared" si="1"/>
        <v>160402.1986453892</v>
      </c>
      <c r="AL7" s="124">
        <f t="shared" si="1"/>
        <v>206153.51081052198</v>
      </c>
      <c r="AM7" s="124">
        <f t="shared" si="1"/>
        <v>251904.82297565471</v>
      </c>
      <c r="AN7" s="124">
        <f t="shared" ref="AN7:AT7" si="2">AN42</f>
        <v>11574.131074995461</v>
      </c>
      <c r="AO7" s="124">
        <f t="shared" si="2"/>
        <v>34722.393224986379</v>
      </c>
      <c r="AP7" s="124">
        <f t="shared" si="2"/>
        <v>68899.574315123682</v>
      </c>
      <c r="AQ7" s="124">
        <f t="shared" si="2"/>
        <v>114650.88648025646</v>
      </c>
      <c r="AR7" s="124">
        <f t="shared" si="2"/>
        <v>160402.1986453892</v>
      </c>
      <c r="AS7" s="124">
        <f t="shared" si="2"/>
        <v>206153.51081052198</v>
      </c>
      <c r="AT7" s="124">
        <f t="shared" si="2"/>
        <v>251904.82297565471</v>
      </c>
    </row>
    <row r="8" spans="2:46">
      <c r="B8" s="1" t="s">
        <v>132</v>
      </c>
      <c r="C8" s="123" t="s">
        <v>76</v>
      </c>
      <c r="D8" s="123"/>
      <c r="E8" s="124">
        <f t="shared" ref="E8:AM8" si="3">E49</f>
        <v>2000</v>
      </c>
      <c r="F8" s="124">
        <f t="shared" si="3"/>
        <v>6000</v>
      </c>
      <c r="G8" s="124">
        <f t="shared" si="3"/>
        <v>12000</v>
      </c>
      <c r="H8" s="124">
        <f t="shared" si="3"/>
        <v>20000</v>
      </c>
      <c r="I8" s="124">
        <f t="shared" si="3"/>
        <v>28000</v>
      </c>
      <c r="J8" s="124">
        <f t="shared" si="3"/>
        <v>36000</v>
      </c>
      <c r="K8" s="124">
        <f t="shared" si="3"/>
        <v>44000</v>
      </c>
      <c r="L8" s="124">
        <f t="shared" si="3"/>
        <v>2000</v>
      </c>
      <c r="M8" s="124">
        <f t="shared" si="3"/>
        <v>6000</v>
      </c>
      <c r="N8" s="124">
        <f t="shared" si="3"/>
        <v>12000</v>
      </c>
      <c r="O8" s="124">
        <f t="shared" si="3"/>
        <v>20000</v>
      </c>
      <c r="P8" s="124">
        <f t="shared" si="3"/>
        <v>28000</v>
      </c>
      <c r="Q8" s="124">
        <f t="shared" si="3"/>
        <v>36000</v>
      </c>
      <c r="R8" s="124">
        <f t="shared" si="3"/>
        <v>44000</v>
      </c>
      <c r="S8" s="124">
        <f t="shared" si="3"/>
        <v>2000</v>
      </c>
      <c r="T8" s="124">
        <f t="shared" si="3"/>
        <v>6000</v>
      </c>
      <c r="U8" s="124">
        <f t="shared" si="3"/>
        <v>12000</v>
      </c>
      <c r="V8" s="124">
        <f t="shared" si="3"/>
        <v>20000</v>
      </c>
      <c r="W8" s="124">
        <f t="shared" si="3"/>
        <v>28000</v>
      </c>
      <c r="X8" s="124">
        <f t="shared" si="3"/>
        <v>36000</v>
      </c>
      <c r="Y8" s="124">
        <f t="shared" si="3"/>
        <v>44000</v>
      </c>
      <c r="Z8" s="124">
        <f t="shared" si="3"/>
        <v>2000</v>
      </c>
      <c r="AA8" s="124">
        <f t="shared" si="3"/>
        <v>6000</v>
      </c>
      <c r="AB8" s="124">
        <f t="shared" si="3"/>
        <v>12000</v>
      </c>
      <c r="AC8" s="124">
        <f t="shared" si="3"/>
        <v>20000</v>
      </c>
      <c r="AD8" s="124">
        <f t="shared" si="3"/>
        <v>28000</v>
      </c>
      <c r="AE8" s="124">
        <f t="shared" si="3"/>
        <v>36000</v>
      </c>
      <c r="AF8" s="124">
        <f t="shared" si="3"/>
        <v>44000</v>
      </c>
      <c r="AG8" s="124">
        <f t="shared" si="3"/>
        <v>2000</v>
      </c>
      <c r="AH8" s="124">
        <f t="shared" si="3"/>
        <v>6000</v>
      </c>
      <c r="AI8" s="124">
        <f t="shared" si="3"/>
        <v>12000</v>
      </c>
      <c r="AJ8" s="124">
        <f t="shared" si="3"/>
        <v>20000</v>
      </c>
      <c r="AK8" s="124">
        <f t="shared" si="3"/>
        <v>28000</v>
      </c>
      <c r="AL8" s="124">
        <f t="shared" si="3"/>
        <v>36000</v>
      </c>
      <c r="AM8" s="124">
        <f t="shared" si="3"/>
        <v>44000</v>
      </c>
      <c r="AN8" s="124">
        <f t="shared" ref="AN8:AT8" si="4">AN49</f>
        <v>2000</v>
      </c>
      <c r="AO8" s="124">
        <f t="shared" si="4"/>
        <v>6000</v>
      </c>
      <c r="AP8" s="124">
        <f t="shared" si="4"/>
        <v>12000</v>
      </c>
      <c r="AQ8" s="124">
        <f t="shared" si="4"/>
        <v>20000</v>
      </c>
      <c r="AR8" s="124">
        <f t="shared" si="4"/>
        <v>28000</v>
      </c>
      <c r="AS8" s="124">
        <f t="shared" si="4"/>
        <v>36000</v>
      </c>
      <c r="AT8" s="124">
        <f t="shared" si="4"/>
        <v>44000</v>
      </c>
    </row>
    <row r="9" spans="2:46">
      <c r="B9" s="1" t="s">
        <v>135</v>
      </c>
      <c r="C9" s="123" t="s">
        <v>76</v>
      </c>
      <c r="D9" s="123"/>
      <c r="E9" s="124">
        <f t="shared" ref="E9:AT9" si="5">E53</f>
        <v>5000</v>
      </c>
      <c r="F9" s="124">
        <f t="shared" si="5"/>
        <v>10000</v>
      </c>
      <c r="G9" s="124">
        <f t="shared" si="5"/>
        <v>15000.000000000002</v>
      </c>
      <c r="H9" s="124">
        <f t="shared" si="5"/>
        <v>20000</v>
      </c>
      <c r="I9" s="124">
        <f t="shared" si="5"/>
        <v>25000</v>
      </c>
      <c r="J9" s="124">
        <f t="shared" si="5"/>
        <v>30000</v>
      </c>
      <c r="K9" s="124">
        <f t="shared" si="5"/>
        <v>35000</v>
      </c>
      <c r="L9" s="124">
        <f t="shared" si="5"/>
        <v>5000</v>
      </c>
      <c r="M9" s="124">
        <f t="shared" si="5"/>
        <v>10000</v>
      </c>
      <c r="N9" s="124">
        <f t="shared" si="5"/>
        <v>15000.000000000002</v>
      </c>
      <c r="O9" s="124">
        <f t="shared" si="5"/>
        <v>20000</v>
      </c>
      <c r="P9" s="124">
        <f t="shared" si="5"/>
        <v>25000</v>
      </c>
      <c r="Q9" s="124">
        <f t="shared" si="5"/>
        <v>30000</v>
      </c>
      <c r="R9" s="124">
        <f t="shared" si="5"/>
        <v>35000</v>
      </c>
      <c r="S9" s="124">
        <f t="shared" si="5"/>
        <v>5000</v>
      </c>
      <c r="T9" s="124">
        <f t="shared" si="5"/>
        <v>10000</v>
      </c>
      <c r="U9" s="124">
        <f t="shared" si="5"/>
        <v>15000.000000000002</v>
      </c>
      <c r="V9" s="124">
        <f t="shared" si="5"/>
        <v>20000</v>
      </c>
      <c r="W9" s="124">
        <f t="shared" si="5"/>
        <v>25000</v>
      </c>
      <c r="X9" s="124">
        <f t="shared" si="5"/>
        <v>30000</v>
      </c>
      <c r="Y9" s="124">
        <f t="shared" si="5"/>
        <v>35000</v>
      </c>
      <c r="Z9" s="124">
        <f t="shared" si="5"/>
        <v>5000</v>
      </c>
      <c r="AA9" s="124">
        <f t="shared" si="5"/>
        <v>10000</v>
      </c>
      <c r="AB9" s="124">
        <f t="shared" si="5"/>
        <v>15000.000000000002</v>
      </c>
      <c r="AC9" s="124">
        <f t="shared" si="5"/>
        <v>20000</v>
      </c>
      <c r="AD9" s="124">
        <f t="shared" si="5"/>
        <v>25000</v>
      </c>
      <c r="AE9" s="124">
        <f t="shared" si="5"/>
        <v>30000</v>
      </c>
      <c r="AF9" s="124">
        <f t="shared" si="5"/>
        <v>35000</v>
      </c>
      <c r="AG9" s="124">
        <f t="shared" si="5"/>
        <v>5000</v>
      </c>
      <c r="AH9" s="124">
        <f t="shared" si="5"/>
        <v>10000</v>
      </c>
      <c r="AI9" s="124">
        <f t="shared" si="5"/>
        <v>15000.000000000002</v>
      </c>
      <c r="AJ9" s="124">
        <f t="shared" si="5"/>
        <v>20000</v>
      </c>
      <c r="AK9" s="124">
        <f t="shared" si="5"/>
        <v>25000</v>
      </c>
      <c r="AL9" s="124">
        <f t="shared" si="5"/>
        <v>30000</v>
      </c>
      <c r="AM9" s="124">
        <f t="shared" si="5"/>
        <v>35000</v>
      </c>
      <c r="AN9" s="124">
        <f t="shared" si="5"/>
        <v>5000</v>
      </c>
      <c r="AO9" s="124">
        <f t="shared" si="5"/>
        <v>10000</v>
      </c>
      <c r="AP9" s="124">
        <f t="shared" si="5"/>
        <v>15000.000000000002</v>
      </c>
      <c r="AQ9" s="124">
        <f t="shared" si="5"/>
        <v>20000</v>
      </c>
      <c r="AR9" s="124">
        <f t="shared" si="5"/>
        <v>25000</v>
      </c>
      <c r="AS9" s="124">
        <f t="shared" si="5"/>
        <v>30000</v>
      </c>
      <c r="AT9" s="124">
        <f t="shared" si="5"/>
        <v>35000</v>
      </c>
    </row>
    <row r="10" spans="2:46">
      <c r="B10" s="1" t="s">
        <v>137</v>
      </c>
      <c r="C10" s="123" t="s">
        <v>76</v>
      </c>
      <c r="D10" s="123"/>
      <c r="E10" s="124">
        <f>E60</f>
        <v>126530.15</v>
      </c>
      <c r="F10" s="124">
        <f t="shared" ref="F10:AM10" si="6">F60</f>
        <v>126530.15</v>
      </c>
      <c r="G10" s="124">
        <f t="shared" si="6"/>
        <v>126530.15</v>
      </c>
      <c r="H10" s="124">
        <f t="shared" si="6"/>
        <v>126530.15</v>
      </c>
      <c r="I10" s="124">
        <f t="shared" si="6"/>
        <v>126530.15</v>
      </c>
      <c r="J10" s="124">
        <f t="shared" si="6"/>
        <v>126530.15</v>
      </c>
      <c r="K10" s="124">
        <f t="shared" si="6"/>
        <v>126530.15</v>
      </c>
      <c r="L10" s="124">
        <f t="shared" si="6"/>
        <v>253060.3</v>
      </c>
      <c r="M10" s="124">
        <f t="shared" si="6"/>
        <v>253060.3</v>
      </c>
      <c r="N10" s="124">
        <f t="shared" si="6"/>
        <v>253060.3</v>
      </c>
      <c r="O10" s="124">
        <f t="shared" si="6"/>
        <v>253060.3</v>
      </c>
      <c r="P10" s="124">
        <f t="shared" si="6"/>
        <v>253060.3</v>
      </c>
      <c r="Q10" s="124">
        <f t="shared" si="6"/>
        <v>253060.3</v>
      </c>
      <c r="R10" s="124">
        <f t="shared" si="6"/>
        <v>253060.3</v>
      </c>
      <c r="S10" s="124">
        <f t="shared" si="6"/>
        <v>379590.44999999995</v>
      </c>
      <c r="T10" s="124">
        <f t="shared" si="6"/>
        <v>379590.44999999995</v>
      </c>
      <c r="U10" s="124">
        <f t="shared" si="6"/>
        <v>379590.44999999995</v>
      </c>
      <c r="V10" s="124">
        <f t="shared" si="6"/>
        <v>379590.44999999995</v>
      </c>
      <c r="W10" s="124">
        <f t="shared" si="6"/>
        <v>379590.44999999995</v>
      </c>
      <c r="X10" s="124">
        <f t="shared" si="6"/>
        <v>379590.44999999995</v>
      </c>
      <c r="Y10" s="124">
        <f t="shared" si="6"/>
        <v>379590.44999999995</v>
      </c>
      <c r="Z10" s="124">
        <f t="shared" si="6"/>
        <v>506120.6</v>
      </c>
      <c r="AA10" s="124">
        <f t="shared" si="6"/>
        <v>506120.6</v>
      </c>
      <c r="AB10" s="124">
        <f t="shared" si="6"/>
        <v>506120.6</v>
      </c>
      <c r="AC10" s="124">
        <f t="shared" si="6"/>
        <v>506120.6</v>
      </c>
      <c r="AD10" s="124">
        <f t="shared" si="6"/>
        <v>506120.6</v>
      </c>
      <c r="AE10" s="124">
        <f t="shared" si="6"/>
        <v>506120.6</v>
      </c>
      <c r="AF10" s="124">
        <f t="shared" si="6"/>
        <v>506120.6</v>
      </c>
      <c r="AG10" s="124">
        <f t="shared" si="6"/>
        <v>632650.75</v>
      </c>
      <c r="AH10" s="124">
        <f t="shared" si="6"/>
        <v>632650.75</v>
      </c>
      <c r="AI10" s="124">
        <f t="shared" si="6"/>
        <v>632650.75</v>
      </c>
      <c r="AJ10" s="124">
        <f t="shared" si="6"/>
        <v>632650.75</v>
      </c>
      <c r="AK10" s="124">
        <f t="shared" si="6"/>
        <v>632650.75</v>
      </c>
      <c r="AL10" s="124">
        <f t="shared" si="6"/>
        <v>632650.75</v>
      </c>
      <c r="AM10" s="124">
        <f t="shared" si="6"/>
        <v>632650.75</v>
      </c>
      <c r="AN10" s="124">
        <f t="shared" ref="AN10:AT10" si="7">AN60</f>
        <v>759180.89999999991</v>
      </c>
      <c r="AO10" s="124">
        <f t="shared" si="7"/>
        <v>759180.89999999991</v>
      </c>
      <c r="AP10" s="124">
        <f t="shared" si="7"/>
        <v>759180.89999999991</v>
      </c>
      <c r="AQ10" s="124">
        <f t="shared" si="7"/>
        <v>759180.89999999991</v>
      </c>
      <c r="AR10" s="124">
        <f t="shared" si="7"/>
        <v>759180.89999999991</v>
      </c>
      <c r="AS10" s="124">
        <f t="shared" si="7"/>
        <v>759180.89999999991</v>
      </c>
      <c r="AT10" s="124">
        <f t="shared" si="7"/>
        <v>759180.89999999991</v>
      </c>
    </row>
    <row r="11" spans="2:46">
      <c r="B11" s="1" t="s">
        <v>142</v>
      </c>
      <c r="C11" s="123" t="s">
        <v>76</v>
      </c>
      <c r="D11" s="123"/>
      <c r="E11" s="124">
        <f>E64</f>
        <v>25000</v>
      </c>
      <c r="F11" s="124">
        <f t="shared" ref="F11:AM11" si="8">F64</f>
        <v>25000</v>
      </c>
      <c r="G11" s="124">
        <f t="shared" si="8"/>
        <v>25000</v>
      </c>
      <c r="H11" s="124">
        <f t="shared" si="8"/>
        <v>25000</v>
      </c>
      <c r="I11" s="124">
        <f t="shared" si="8"/>
        <v>25000</v>
      </c>
      <c r="J11" s="124">
        <f t="shared" si="8"/>
        <v>25000</v>
      </c>
      <c r="K11" s="124">
        <f t="shared" si="8"/>
        <v>25000</v>
      </c>
      <c r="L11" s="124">
        <f t="shared" si="8"/>
        <v>25000</v>
      </c>
      <c r="M11" s="124">
        <f t="shared" si="8"/>
        <v>25000</v>
      </c>
      <c r="N11" s="124">
        <f t="shared" si="8"/>
        <v>25000</v>
      </c>
      <c r="O11" s="124">
        <f t="shared" si="8"/>
        <v>25000</v>
      </c>
      <c r="P11" s="124">
        <f t="shared" si="8"/>
        <v>25000</v>
      </c>
      <c r="Q11" s="124">
        <f t="shared" si="8"/>
        <v>25000</v>
      </c>
      <c r="R11" s="124">
        <f t="shared" si="8"/>
        <v>25000</v>
      </c>
      <c r="S11" s="124">
        <f t="shared" si="8"/>
        <v>25000</v>
      </c>
      <c r="T11" s="124">
        <f t="shared" si="8"/>
        <v>25000</v>
      </c>
      <c r="U11" s="124">
        <f t="shared" si="8"/>
        <v>25000</v>
      </c>
      <c r="V11" s="124">
        <f t="shared" si="8"/>
        <v>25000</v>
      </c>
      <c r="W11" s="124">
        <f t="shared" si="8"/>
        <v>25000</v>
      </c>
      <c r="X11" s="124">
        <f t="shared" si="8"/>
        <v>25000</v>
      </c>
      <c r="Y11" s="124">
        <f t="shared" si="8"/>
        <v>25000</v>
      </c>
      <c r="Z11" s="124">
        <f t="shared" si="8"/>
        <v>25000</v>
      </c>
      <c r="AA11" s="124">
        <f t="shared" si="8"/>
        <v>25000</v>
      </c>
      <c r="AB11" s="124">
        <f t="shared" si="8"/>
        <v>25000</v>
      </c>
      <c r="AC11" s="124">
        <f t="shared" si="8"/>
        <v>25000</v>
      </c>
      <c r="AD11" s="124">
        <f t="shared" si="8"/>
        <v>25000</v>
      </c>
      <c r="AE11" s="124">
        <f t="shared" si="8"/>
        <v>25000</v>
      </c>
      <c r="AF11" s="124">
        <f t="shared" si="8"/>
        <v>25000</v>
      </c>
      <c r="AG11" s="124">
        <f t="shared" si="8"/>
        <v>25000</v>
      </c>
      <c r="AH11" s="124">
        <f t="shared" si="8"/>
        <v>25000</v>
      </c>
      <c r="AI11" s="124">
        <f t="shared" si="8"/>
        <v>25000</v>
      </c>
      <c r="AJ11" s="124">
        <f t="shared" si="8"/>
        <v>25000</v>
      </c>
      <c r="AK11" s="124">
        <f t="shared" si="8"/>
        <v>25000</v>
      </c>
      <c r="AL11" s="124">
        <f t="shared" si="8"/>
        <v>25000</v>
      </c>
      <c r="AM11" s="124">
        <f t="shared" si="8"/>
        <v>25000</v>
      </c>
      <c r="AN11" s="124">
        <f t="shared" ref="AN11:AT11" si="9">AN64</f>
        <v>25000</v>
      </c>
      <c r="AO11" s="124">
        <f t="shared" si="9"/>
        <v>25000</v>
      </c>
      <c r="AP11" s="124">
        <f t="shared" si="9"/>
        <v>25000</v>
      </c>
      <c r="AQ11" s="124">
        <f t="shared" si="9"/>
        <v>25000</v>
      </c>
      <c r="AR11" s="124">
        <f t="shared" si="9"/>
        <v>25000</v>
      </c>
      <c r="AS11" s="124">
        <f t="shared" si="9"/>
        <v>25000</v>
      </c>
      <c r="AT11" s="124">
        <f t="shared" si="9"/>
        <v>25000</v>
      </c>
    </row>
    <row r="12" spans="2:46">
      <c r="B12" s="1" t="s">
        <v>144</v>
      </c>
      <c r="C12" s="123" t="s">
        <v>76</v>
      </c>
      <c r="D12" s="123"/>
      <c r="E12" s="124">
        <f t="shared" ref="E12:AM12" si="10">E69</f>
        <v>2027.1238898038469</v>
      </c>
      <c r="F12" s="124">
        <f t="shared" si="10"/>
        <v>2391.3716694115406</v>
      </c>
      <c r="G12" s="124">
        <f t="shared" si="10"/>
        <v>2892.7433388230816</v>
      </c>
      <c r="H12" s="124">
        <f t="shared" si="10"/>
        <v>3531.238898038469</v>
      </c>
      <c r="I12" s="124">
        <f t="shared" si="10"/>
        <v>4169.7344572538568</v>
      </c>
      <c r="J12" s="124">
        <f t="shared" si="10"/>
        <v>4808.2300164692442</v>
      </c>
      <c r="K12" s="124">
        <f t="shared" si="10"/>
        <v>5446.7255756846325</v>
      </c>
      <c r="L12" s="124">
        <f t="shared" si="10"/>
        <v>3377.1238898038469</v>
      </c>
      <c r="M12" s="124">
        <f t="shared" si="10"/>
        <v>3741.3716694115406</v>
      </c>
      <c r="N12" s="124">
        <f t="shared" si="10"/>
        <v>4242.743338823082</v>
      </c>
      <c r="O12" s="124">
        <f t="shared" si="10"/>
        <v>4881.2388980384685</v>
      </c>
      <c r="P12" s="124">
        <f t="shared" si="10"/>
        <v>5519.7344572538568</v>
      </c>
      <c r="Q12" s="124">
        <f t="shared" si="10"/>
        <v>6158.2300164692442</v>
      </c>
      <c r="R12" s="124">
        <f t="shared" si="10"/>
        <v>6796.7255756846325</v>
      </c>
      <c r="S12" s="124">
        <f t="shared" si="10"/>
        <v>4727.1238898038464</v>
      </c>
      <c r="T12" s="124">
        <f t="shared" si="10"/>
        <v>5091.371669411541</v>
      </c>
      <c r="U12" s="124">
        <f t="shared" si="10"/>
        <v>5592.743338823082</v>
      </c>
      <c r="V12" s="124">
        <f t="shared" si="10"/>
        <v>6231.2388980384685</v>
      </c>
      <c r="W12" s="124">
        <f t="shared" si="10"/>
        <v>6869.7344572538568</v>
      </c>
      <c r="X12" s="124">
        <f t="shared" si="10"/>
        <v>7508.2300164692442</v>
      </c>
      <c r="Y12" s="124">
        <f t="shared" si="10"/>
        <v>8146.7255756846334</v>
      </c>
      <c r="Z12" s="124">
        <f t="shared" si="10"/>
        <v>6077.1238898038464</v>
      </c>
      <c r="AA12" s="124">
        <f t="shared" si="10"/>
        <v>6441.371669411541</v>
      </c>
      <c r="AB12" s="124">
        <f t="shared" si="10"/>
        <v>6942.743338823082</v>
      </c>
      <c r="AC12" s="124">
        <f t="shared" si="10"/>
        <v>7581.2388980384685</v>
      </c>
      <c r="AD12" s="124">
        <f t="shared" si="10"/>
        <v>8219.734457253855</v>
      </c>
      <c r="AE12" s="124">
        <f t="shared" si="10"/>
        <v>8858.2300164692442</v>
      </c>
      <c r="AF12" s="124">
        <f t="shared" si="10"/>
        <v>9496.7255756846334</v>
      </c>
      <c r="AG12" s="124">
        <f t="shared" si="10"/>
        <v>7427.1238898038464</v>
      </c>
      <c r="AH12" s="124">
        <f t="shared" si="10"/>
        <v>7791.3716694115419</v>
      </c>
      <c r="AI12" s="124">
        <f t="shared" si="10"/>
        <v>8292.743338823082</v>
      </c>
      <c r="AJ12" s="124">
        <f t="shared" si="10"/>
        <v>8931.2388980384694</v>
      </c>
      <c r="AK12" s="124">
        <f t="shared" si="10"/>
        <v>9569.734457253855</v>
      </c>
      <c r="AL12" s="124">
        <f t="shared" si="10"/>
        <v>10208.230016469244</v>
      </c>
      <c r="AM12" s="124">
        <f t="shared" si="10"/>
        <v>10846.725575684633</v>
      </c>
      <c r="AN12" s="124">
        <f t="shared" ref="AN12:AT12" si="11">AN69</f>
        <v>8777.1238898038464</v>
      </c>
      <c r="AO12" s="124">
        <f t="shared" si="11"/>
        <v>9141.371669411541</v>
      </c>
      <c r="AP12" s="124">
        <f t="shared" si="11"/>
        <v>9642.743338823082</v>
      </c>
      <c r="AQ12" s="124">
        <f t="shared" si="11"/>
        <v>10281.238898038469</v>
      </c>
      <c r="AR12" s="124">
        <f t="shared" si="11"/>
        <v>10919.734457253855</v>
      </c>
      <c r="AS12" s="124">
        <f t="shared" si="11"/>
        <v>11558.230016469244</v>
      </c>
      <c r="AT12" s="124">
        <f t="shared" si="11"/>
        <v>12196.725575684633</v>
      </c>
    </row>
    <row r="14" spans="2:46" ht="86" customHeight="1">
      <c r="E14" s="122" t="str">
        <f>CONCATENATE("Horizontal well &gt; ",E$27,"m to &lt;= ",E$28,"m length, ",E$45," strings / completion, ",E$56," barriers.")</f>
        <v>Horizontal well &gt; 0m to &lt;= 500m length, 1 strings / completion, 1 barriers.</v>
      </c>
      <c r="F14" s="122" t="str">
        <f t="shared" ref="F14:AT14" si="12">CONCATENATE("Horizontal well &gt; ",F$27,"m to &lt;= ",F$28,"m length, ",F$45," strings / completion, ",F$56," barriers.")</f>
        <v>Horizontal well &gt; 500m to &lt;= 1000m length, 1 strings / completion, 1 barriers.</v>
      </c>
      <c r="G14" s="122" t="str">
        <f t="shared" si="12"/>
        <v>Horizontal well &gt; 1000m to &lt;= 2000m length, 1 strings / completion, 1 barriers.</v>
      </c>
      <c r="H14" s="122" t="str">
        <f t="shared" si="12"/>
        <v>Horizontal well &gt; 2000m to &lt;= 3000m length, 1 strings / completion, 1 barriers.</v>
      </c>
      <c r="I14" s="122" t="str">
        <f t="shared" si="12"/>
        <v>Horizontal well &gt; 3000m to &lt;= 4000m length, 1 strings / completion, 1 barriers.</v>
      </c>
      <c r="J14" s="122" t="str">
        <f t="shared" si="12"/>
        <v>Horizontal well &gt; 4000m to &lt;= 5000m length, 1 strings / completion, 1 barriers.</v>
      </c>
      <c r="K14" s="122" t="str">
        <f t="shared" si="12"/>
        <v>Horizontal well &gt; 5000m to &lt;= 6000m length, 1 strings / completion, 1 barriers.</v>
      </c>
      <c r="L14" s="122" t="str">
        <f t="shared" si="12"/>
        <v>Horizontal well &gt; 0m to &lt;= 500m length, 1 strings / completion, 2 barriers.</v>
      </c>
      <c r="M14" s="122" t="str">
        <f t="shared" si="12"/>
        <v>Horizontal well &gt; 500m to &lt;= 1000m length, 1 strings / completion, 2 barriers.</v>
      </c>
      <c r="N14" s="122" t="str">
        <f t="shared" si="12"/>
        <v>Horizontal well &gt; 1000m to &lt;= 2000m length, 1 strings / completion, 2 barriers.</v>
      </c>
      <c r="O14" s="122" t="str">
        <f t="shared" si="12"/>
        <v>Horizontal well &gt; 2000m to &lt;= 3000m length, 1 strings / completion, 2 barriers.</v>
      </c>
      <c r="P14" s="122" t="str">
        <f t="shared" si="12"/>
        <v>Horizontal well &gt; 3000m to &lt;= 4000m length, 1 strings / completion, 2 barriers.</v>
      </c>
      <c r="Q14" s="122" t="str">
        <f t="shared" si="12"/>
        <v>Horizontal well &gt; 4000m to &lt;= 5000m length, 1 strings / completion, 2 barriers.</v>
      </c>
      <c r="R14" s="122" t="str">
        <f t="shared" si="12"/>
        <v>Horizontal well &gt; 5000m to &lt;= 6000m length, 1 strings / completion, 2 barriers.</v>
      </c>
      <c r="S14" s="122" t="str">
        <f t="shared" si="12"/>
        <v>Horizontal well &gt; 0m to &lt;= 500m length, 1 strings / completion, 3 barriers.</v>
      </c>
      <c r="T14" s="122" t="str">
        <f t="shared" si="12"/>
        <v>Horizontal well &gt; 500m to &lt;= 1000m length, 1 strings / completion, 3 barriers.</v>
      </c>
      <c r="U14" s="122" t="str">
        <f t="shared" si="12"/>
        <v>Horizontal well &gt; 1000m to &lt;= 2000m length, 1 strings / completion, 3 barriers.</v>
      </c>
      <c r="V14" s="122" t="str">
        <f t="shared" si="12"/>
        <v>Horizontal well &gt; 2000m to &lt;= 3000m length, 1 strings / completion, 3 barriers.</v>
      </c>
      <c r="W14" s="122" t="str">
        <f t="shared" si="12"/>
        <v>Horizontal well &gt; 3000m to &lt;= 4000m length, 1 strings / completion, 3 barriers.</v>
      </c>
      <c r="X14" s="122" t="str">
        <f t="shared" si="12"/>
        <v>Horizontal well &gt; 4000m to &lt;= 5000m length, 1 strings / completion, 3 barriers.</v>
      </c>
      <c r="Y14" s="122" t="str">
        <f t="shared" si="12"/>
        <v>Horizontal well &gt; 5000m to &lt;= 6000m length, 1 strings / completion, 3 barriers.</v>
      </c>
      <c r="Z14" s="122" t="str">
        <f t="shared" si="12"/>
        <v>Horizontal well &gt; 0m to &lt;= 500m length, 1 strings / completion, 4 barriers.</v>
      </c>
      <c r="AA14" s="122" t="str">
        <f t="shared" si="12"/>
        <v>Horizontal well &gt; 500m to &lt;= 1000m length, 1 strings / completion, 4 barriers.</v>
      </c>
      <c r="AB14" s="122" t="str">
        <f t="shared" si="12"/>
        <v>Horizontal well &gt; 1000m to &lt;= 2000m length, 1 strings / completion, 4 barriers.</v>
      </c>
      <c r="AC14" s="122" t="str">
        <f t="shared" si="12"/>
        <v>Horizontal well &gt; 2000m to &lt;= 3000m length, 1 strings / completion, 4 barriers.</v>
      </c>
      <c r="AD14" s="122" t="str">
        <f t="shared" si="12"/>
        <v>Horizontal well &gt; 3000m to &lt;= 4000m length, 1 strings / completion, 4 barriers.</v>
      </c>
      <c r="AE14" s="122" t="str">
        <f t="shared" si="12"/>
        <v>Horizontal well &gt; 4000m to &lt;= 5000m length, 1 strings / completion, 4 barriers.</v>
      </c>
      <c r="AF14" s="122" t="str">
        <f t="shared" si="12"/>
        <v>Horizontal well &gt; 5000m to &lt;= 6000m length, 1 strings / completion, 4 barriers.</v>
      </c>
      <c r="AG14" s="122" t="str">
        <f t="shared" si="12"/>
        <v>Horizontal well &gt; 0m to &lt;= 500m length, 1 strings / completion, 5 barriers.</v>
      </c>
      <c r="AH14" s="122" t="str">
        <f t="shared" si="12"/>
        <v>Horizontal well &gt; 500m to &lt;= 1000m length, 1 strings / completion, 5 barriers.</v>
      </c>
      <c r="AI14" s="122" t="str">
        <f t="shared" si="12"/>
        <v>Horizontal well &gt; 1000m to &lt;= 2000m length, 1 strings / completion, 5 barriers.</v>
      </c>
      <c r="AJ14" s="122" t="str">
        <f t="shared" si="12"/>
        <v>Horizontal well &gt; 2000m to &lt;= 3000m length, 1 strings / completion, 5 barriers.</v>
      </c>
      <c r="AK14" s="122" t="str">
        <f t="shared" si="12"/>
        <v>Horizontal well &gt; 3000m to &lt;= 4000m length, 1 strings / completion, 5 barriers.</v>
      </c>
      <c r="AL14" s="122" t="str">
        <f t="shared" si="12"/>
        <v>Horizontal well &gt; 4000m to &lt;= 5000m length, 1 strings / completion, 5 barriers.</v>
      </c>
      <c r="AM14" s="122" t="str">
        <f t="shared" si="12"/>
        <v>Horizontal well &gt; 5000m to &lt;= 6000m length, 1 strings / completion, 5 barriers.</v>
      </c>
      <c r="AN14" s="122" t="str">
        <f t="shared" si="12"/>
        <v>Horizontal well &gt; 0m to &lt;= 500m length, 1 strings / completion, 6 barriers.</v>
      </c>
      <c r="AO14" s="122" t="str">
        <f t="shared" si="12"/>
        <v>Horizontal well &gt; 500m to &lt;= 1000m length, 1 strings / completion, 6 barriers.</v>
      </c>
      <c r="AP14" s="122" t="str">
        <f t="shared" si="12"/>
        <v>Horizontal well &gt; 1000m to &lt;= 2000m length, 1 strings / completion, 6 barriers.</v>
      </c>
      <c r="AQ14" s="122" t="str">
        <f t="shared" si="12"/>
        <v>Horizontal well &gt; 2000m to &lt;= 3000m length, 1 strings / completion, 6 barriers.</v>
      </c>
      <c r="AR14" s="122" t="str">
        <f t="shared" si="12"/>
        <v>Horizontal well &gt; 3000m to &lt;= 4000m length, 1 strings / completion, 6 barriers.</v>
      </c>
      <c r="AS14" s="122" t="str">
        <f t="shared" si="12"/>
        <v>Horizontal well &gt; 4000m to &lt;= 5000m length, 1 strings / completion, 6 barriers.</v>
      </c>
      <c r="AT14" s="122" t="str">
        <f t="shared" si="12"/>
        <v>Horizontal well &gt; 5000m to &lt;= 6000m length, 1 strings / completion, 6 barriers.</v>
      </c>
    </row>
    <row r="15" spans="2:46">
      <c r="B15" s="125" t="s">
        <v>45</v>
      </c>
      <c r="C15" s="123" t="s">
        <v>107</v>
      </c>
      <c r="D15" s="123"/>
      <c r="E15" s="124">
        <f t="shared" ref="E15:AT15" si="13">SUM(E7:E12)</f>
        <v>172131.40496479932</v>
      </c>
      <c r="F15" s="124">
        <f t="shared" si="13"/>
        <v>204643.91489439792</v>
      </c>
      <c r="G15" s="124">
        <f t="shared" si="13"/>
        <v>250322.46765394678</v>
      </c>
      <c r="H15" s="124">
        <f t="shared" si="13"/>
        <v>309712.27537829493</v>
      </c>
      <c r="I15" s="124">
        <f t="shared" si="13"/>
        <v>369102.08310264302</v>
      </c>
      <c r="J15" s="124">
        <f t="shared" si="13"/>
        <v>428491.89082699129</v>
      </c>
      <c r="K15" s="124">
        <f t="shared" si="13"/>
        <v>487881.69855133939</v>
      </c>
      <c r="L15" s="124">
        <f t="shared" si="13"/>
        <v>300011.55496479926</v>
      </c>
      <c r="M15" s="124">
        <f t="shared" si="13"/>
        <v>332524.06489439792</v>
      </c>
      <c r="N15" s="124">
        <f t="shared" si="13"/>
        <v>378202.61765394674</v>
      </c>
      <c r="O15" s="124">
        <f t="shared" si="13"/>
        <v>437592.42537829489</v>
      </c>
      <c r="P15" s="124">
        <f t="shared" si="13"/>
        <v>496982.23310264305</v>
      </c>
      <c r="Q15" s="124">
        <f t="shared" si="13"/>
        <v>556372.0408269912</v>
      </c>
      <c r="R15" s="124">
        <f t="shared" si="13"/>
        <v>615761.84855133935</v>
      </c>
      <c r="S15" s="124">
        <f t="shared" si="13"/>
        <v>427891.70496479922</v>
      </c>
      <c r="T15" s="124">
        <f t="shared" si="13"/>
        <v>460404.21489439788</v>
      </c>
      <c r="U15" s="124">
        <f t="shared" si="13"/>
        <v>506082.76765394671</v>
      </c>
      <c r="V15" s="124">
        <f t="shared" si="13"/>
        <v>565472.57537829492</v>
      </c>
      <c r="W15" s="124">
        <f t="shared" si="13"/>
        <v>624862.38310264295</v>
      </c>
      <c r="X15" s="124">
        <f t="shared" si="13"/>
        <v>684252.19082699122</v>
      </c>
      <c r="Y15" s="124">
        <f t="shared" si="13"/>
        <v>743641.99855133938</v>
      </c>
      <c r="Z15" s="124">
        <f t="shared" si="13"/>
        <v>555771.85496479936</v>
      </c>
      <c r="AA15" s="124">
        <f t="shared" si="13"/>
        <v>588284.36489439791</v>
      </c>
      <c r="AB15" s="124">
        <f t="shared" si="13"/>
        <v>633962.91765394679</v>
      </c>
      <c r="AC15" s="124">
        <f t="shared" si="13"/>
        <v>693352.72537829494</v>
      </c>
      <c r="AD15" s="124">
        <f t="shared" si="13"/>
        <v>752742.53310264298</v>
      </c>
      <c r="AE15" s="124">
        <f t="shared" si="13"/>
        <v>812132.34082699125</v>
      </c>
      <c r="AF15" s="124">
        <f t="shared" si="13"/>
        <v>871522.1485513394</v>
      </c>
      <c r="AG15" s="124">
        <f t="shared" si="13"/>
        <v>683652.00496479939</v>
      </c>
      <c r="AH15" s="124">
        <f t="shared" si="13"/>
        <v>716164.51489439793</v>
      </c>
      <c r="AI15" s="124">
        <f t="shared" si="13"/>
        <v>761843.06765394681</v>
      </c>
      <c r="AJ15" s="124">
        <f t="shared" si="13"/>
        <v>821232.87537829496</v>
      </c>
      <c r="AK15" s="124">
        <f t="shared" si="13"/>
        <v>880622.683102643</v>
      </c>
      <c r="AL15" s="124">
        <f t="shared" si="13"/>
        <v>940012.49082699127</v>
      </c>
      <c r="AM15" s="124">
        <f t="shared" si="13"/>
        <v>999402.29855133942</v>
      </c>
      <c r="AN15" s="124">
        <f t="shared" si="13"/>
        <v>811532.15496479929</v>
      </c>
      <c r="AO15" s="124">
        <f t="shared" si="13"/>
        <v>844044.66489439784</v>
      </c>
      <c r="AP15" s="124">
        <f t="shared" si="13"/>
        <v>889723.21765394672</v>
      </c>
      <c r="AQ15" s="124">
        <f t="shared" si="13"/>
        <v>949113.02537829487</v>
      </c>
      <c r="AR15" s="124">
        <f t="shared" si="13"/>
        <v>1008502.8331026429</v>
      </c>
      <c r="AS15" s="124">
        <f t="shared" si="13"/>
        <v>1067892.6408269911</v>
      </c>
      <c r="AT15" s="124">
        <f t="shared" si="13"/>
        <v>1127282.4485513391</v>
      </c>
    </row>
    <row r="16" spans="2:46" ht="15" thickBot="1">
      <c r="B16" s="125" t="s">
        <v>108</v>
      </c>
      <c r="C16" s="123" t="s">
        <v>107</v>
      </c>
      <c r="D16" s="123"/>
      <c r="E16" s="126">
        <f>CEILING(E15,1000)</f>
        <v>173000</v>
      </c>
      <c r="F16" s="126">
        <f t="shared" ref="F16:O16" si="14">CEILING(F15,1000)</f>
        <v>205000</v>
      </c>
      <c r="G16" s="126">
        <f t="shared" si="14"/>
        <v>251000</v>
      </c>
      <c r="H16" s="126">
        <f t="shared" si="14"/>
        <v>310000</v>
      </c>
      <c r="I16" s="126">
        <f t="shared" si="14"/>
        <v>370000</v>
      </c>
      <c r="J16" s="126">
        <f t="shared" si="14"/>
        <v>429000</v>
      </c>
      <c r="K16" s="126">
        <f t="shared" si="14"/>
        <v>488000</v>
      </c>
      <c r="L16" s="126">
        <f t="shared" si="14"/>
        <v>301000</v>
      </c>
      <c r="M16" s="126">
        <f t="shared" si="14"/>
        <v>333000</v>
      </c>
      <c r="N16" s="126">
        <f t="shared" si="14"/>
        <v>379000</v>
      </c>
      <c r="O16" s="126">
        <f t="shared" si="14"/>
        <v>438000</v>
      </c>
      <c r="P16" s="126">
        <f t="shared" ref="P16" si="15">CEILING(P15,1000)</f>
        <v>497000</v>
      </c>
      <c r="Q16" s="126">
        <f t="shared" ref="Q16" si="16">CEILING(Q15,1000)</f>
        <v>557000</v>
      </c>
      <c r="R16" s="126">
        <f t="shared" ref="R16" si="17">CEILING(R15,1000)</f>
        <v>616000</v>
      </c>
      <c r="S16" s="126">
        <f t="shared" ref="S16" si="18">CEILING(S15,1000)</f>
        <v>428000</v>
      </c>
      <c r="T16" s="126">
        <f t="shared" ref="T16" si="19">CEILING(T15,1000)</f>
        <v>461000</v>
      </c>
      <c r="U16" s="126">
        <f t="shared" ref="U16" si="20">CEILING(U15,1000)</f>
        <v>507000</v>
      </c>
      <c r="V16" s="126">
        <f t="shared" ref="V16" si="21">CEILING(V15,1000)</f>
        <v>566000</v>
      </c>
      <c r="W16" s="126">
        <f t="shared" ref="W16" si="22">CEILING(W15,1000)</f>
        <v>625000</v>
      </c>
      <c r="X16" s="126">
        <f t="shared" ref="X16:Y16" si="23">CEILING(X15,1000)</f>
        <v>685000</v>
      </c>
      <c r="Y16" s="126">
        <f t="shared" si="23"/>
        <v>744000</v>
      </c>
      <c r="Z16" s="126">
        <f t="shared" ref="Z16" si="24">CEILING(Z15,1000)</f>
        <v>556000</v>
      </c>
      <c r="AA16" s="126">
        <f t="shared" ref="AA16" si="25">CEILING(AA15,1000)</f>
        <v>589000</v>
      </c>
      <c r="AB16" s="126">
        <f t="shared" ref="AB16" si="26">CEILING(AB15,1000)</f>
        <v>634000</v>
      </c>
      <c r="AC16" s="126">
        <f t="shared" ref="AC16" si="27">CEILING(AC15,1000)</f>
        <v>694000</v>
      </c>
      <c r="AD16" s="126">
        <f t="shared" ref="AD16" si="28">CEILING(AD15,1000)</f>
        <v>753000</v>
      </c>
      <c r="AE16" s="126">
        <f t="shared" ref="AE16" si="29">CEILING(AE15,1000)</f>
        <v>813000</v>
      </c>
      <c r="AF16" s="126">
        <f t="shared" ref="AF16" si="30">CEILING(AF15,1000)</f>
        <v>872000</v>
      </c>
      <c r="AG16" s="126">
        <f t="shared" ref="AG16" si="31">CEILING(AG15,1000)</f>
        <v>684000</v>
      </c>
      <c r="AH16" s="126">
        <f t="shared" ref="AH16:AI16" si="32">CEILING(AH15,1000)</f>
        <v>717000</v>
      </c>
      <c r="AI16" s="126">
        <f t="shared" si="32"/>
        <v>762000</v>
      </c>
      <c r="AJ16" s="126">
        <f t="shared" ref="AJ16" si="33">CEILING(AJ15,1000)</f>
        <v>822000</v>
      </c>
      <c r="AK16" s="126">
        <f t="shared" ref="AK16" si="34">CEILING(AK15,1000)</f>
        <v>881000</v>
      </c>
      <c r="AL16" s="126">
        <f t="shared" ref="AL16" si="35">CEILING(AL15,1000)</f>
        <v>941000</v>
      </c>
      <c r="AM16" s="126">
        <f t="shared" ref="AM16:AS16" si="36">CEILING(AM15,1000)</f>
        <v>1000000</v>
      </c>
      <c r="AN16" s="126">
        <f t="shared" si="36"/>
        <v>812000</v>
      </c>
      <c r="AO16" s="126">
        <f t="shared" si="36"/>
        <v>845000</v>
      </c>
      <c r="AP16" s="126">
        <f t="shared" si="36"/>
        <v>890000</v>
      </c>
      <c r="AQ16" s="126">
        <f t="shared" si="36"/>
        <v>950000</v>
      </c>
      <c r="AR16" s="126">
        <f t="shared" si="36"/>
        <v>1009000</v>
      </c>
      <c r="AS16" s="126">
        <f t="shared" si="36"/>
        <v>1068000</v>
      </c>
      <c r="AT16" s="126">
        <f t="shared" ref="AT16" si="37">CEILING(AT15,1000)</f>
        <v>1128000</v>
      </c>
    </row>
    <row r="17" spans="2:46" ht="15" thickTop="1">
      <c r="B17" s="123"/>
      <c r="C17" s="123" t="s">
        <v>109</v>
      </c>
      <c r="D17" s="123"/>
      <c r="E17" s="127">
        <f>E16/E29</f>
        <v>692</v>
      </c>
      <c r="F17" s="127">
        <f t="shared" ref="F17:AM17" si="38">F16/F29</f>
        <v>273.33333333333331</v>
      </c>
      <c r="G17" s="127">
        <f t="shared" si="38"/>
        <v>167.33333333333334</v>
      </c>
      <c r="H17" s="127">
        <f t="shared" si="38"/>
        <v>124</v>
      </c>
      <c r="I17" s="127">
        <f t="shared" si="38"/>
        <v>105.71428571428571</v>
      </c>
      <c r="J17" s="127">
        <f t="shared" si="38"/>
        <v>95.333333333333329</v>
      </c>
      <c r="K17" s="127">
        <f t="shared" si="38"/>
        <v>88.727272727272734</v>
      </c>
      <c r="L17" s="127">
        <f t="shared" si="38"/>
        <v>1204</v>
      </c>
      <c r="M17" s="127">
        <f t="shared" si="38"/>
        <v>444</v>
      </c>
      <c r="N17" s="127">
        <f t="shared" si="38"/>
        <v>252.66666666666666</v>
      </c>
      <c r="O17" s="127">
        <f t="shared" si="38"/>
        <v>175.2</v>
      </c>
      <c r="P17" s="127">
        <f t="shared" si="38"/>
        <v>142</v>
      </c>
      <c r="Q17" s="127">
        <f t="shared" si="38"/>
        <v>123.77777777777777</v>
      </c>
      <c r="R17" s="127">
        <f t="shared" si="38"/>
        <v>112</v>
      </c>
      <c r="S17" s="127">
        <f t="shared" si="38"/>
        <v>1712</v>
      </c>
      <c r="T17" s="127">
        <f t="shared" si="38"/>
        <v>614.66666666666663</v>
      </c>
      <c r="U17" s="127">
        <f t="shared" si="38"/>
        <v>338</v>
      </c>
      <c r="V17" s="127">
        <f t="shared" si="38"/>
        <v>226.4</v>
      </c>
      <c r="W17" s="127">
        <f t="shared" si="38"/>
        <v>178.57142857142858</v>
      </c>
      <c r="X17" s="127">
        <f t="shared" si="38"/>
        <v>152.22222222222223</v>
      </c>
      <c r="Y17" s="127">
        <f t="shared" si="38"/>
        <v>135.27272727272728</v>
      </c>
      <c r="Z17" s="127">
        <f t="shared" si="38"/>
        <v>2224</v>
      </c>
      <c r="AA17" s="127">
        <f t="shared" si="38"/>
        <v>785.33333333333337</v>
      </c>
      <c r="AB17" s="127">
        <f t="shared" si="38"/>
        <v>422.66666666666669</v>
      </c>
      <c r="AC17" s="127">
        <f t="shared" si="38"/>
        <v>277.60000000000002</v>
      </c>
      <c r="AD17" s="127">
        <f t="shared" si="38"/>
        <v>215.14285714285714</v>
      </c>
      <c r="AE17" s="127">
        <f t="shared" si="38"/>
        <v>180.66666666666666</v>
      </c>
      <c r="AF17" s="127">
        <f t="shared" si="38"/>
        <v>158.54545454545453</v>
      </c>
      <c r="AG17" s="127">
        <f t="shared" si="38"/>
        <v>2736</v>
      </c>
      <c r="AH17" s="127">
        <f t="shared" si="38"/>
        <v>956</v>
      </c>
      <c r="AI17" s="127">
        <f t="shared" si="38"/>
        <v>508</v>
      </c>
      <c r="AJ17" s="127">
        <f t="shared" si="38"/>
        <v>328.8</v>
      </c>
      <c r="AK17" s="127">
        <f t="shared" si="38"/>
        <v>251.71428571428572</v>
      </c>
      <c r="AL17" s="127">
        <f t="shared" si="38"/>
        <v>209.11111111111111</v>
      </c>
      <c r="AM17" s="127">
        <f t="shared" si="38"/>
        <v>181.81818181818181</v>
      </c>
      <c r="AN17" s="127">
        <f t="shared" ref="AN17:AT17" si="39">AN16/AN29</f>
        <v>3248</v>
      </c>
      <c r="AO17" s="127">
        <f t="shared" si="39"/>
        <v>1126.6666666666667</v>
      </c>
      <c r="AP17" s="127">
        <f t="shared" si="39"/>
        <v>593.33333333333337</v>
      </c>
      <c r="AQ17" s="127">
        <f t="shared" si="39"/>
        <v>380</v>
      </c>
      <c r="AR17" s="127">
        <f t="shared" si="39"/>
        <v>288.28571428571428</v>
      </c>
      <c r="AS17" s="127">
        <f t="shared" si="39"/>
        <v>237.33333333333334</v>
      </c>
      <c r="AT17" s="127">
        <f t="shared" si="39"/>
        <v>205.09090909090909</v>
      </c>
    </row>
    <row r="18" spans="2:46">
      <c r="B18" s="123"/>
      <c r="C18" s="123"/>
      <c r="D18" s="123"/>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row>
    <row r="19" spans="2:46" ht="46.5" customHeight="1">
      <c r="E19" s="128" t="str">
        <f t="shared" ref="E19:AT19" si="40">CONCATENATE("Vertical well, depth ",E$27," to ",E$28,"m, ",E$45," strings / completion")</f>
        <v>Vertical well, depth 0 to 500m, 1 strings / completion</v>
      </c>
      <c r="F19" s="128" t="str">
        <f t="shared" si="40"/>
        <v>Vertical well, depth 500 to 1000m, 1 strings / completion</v>
      </c>
      <c r="G19" s="128" t="str">
        <f t="shared" si="40"/>
        <v>Vertical well, depth 1000 to 2000m, 1 strings / completion</v>
      </c>
      <c r="H19" s="128" t="str">
        <f t="shared" si="40"/>
        <v>Vertical well, depth 2000 to 3000m, 1 strings / completion</v>
      </c>
      <c r="I19" s="128" t="str">
        <f t="shared" si="40"/>
        <v>Vertical well, depth 3000 to 4000m, 1 strings / completion</v>
      </c>
      <c r="J19" s="128" t="str">
        <f t="shared" si="40"/>
        <v>Vertical well, depth 4000 to 5000m, 1 strings / completion</v>
      </c>
      <c r="K19" s="128" t="str">
        <f t="shared" si="40"/>
        <v>Vertical well, depth 5000 to 6000m, 1 strings / completion</v>
      </c>
      <c r="L19" s="128" t="str">
        <f t="shared" si="40"/>
        <v>Vertical well, depth 0 to 500m, 1 strings / completion</v>
      </c>
      <c r="M19" s="128" t="str">
        <f t="shared" si="40"/>
        <v>Vertical well, depth 500 to 1000m, 1 strings / completion</v>
      </c>
      <c r="N19" s="128" t="str">
        <f t="shared" si="40"/>
        <v>Vertical well, depth 1000 to 2000m, 1 strings / completion</v>
      </c>
      <c r="O19" s="128" t="str">
        <f t="shared" si="40"/>
        <v>Vertical well, depth 2000 to 3000m, 1 strings / completion</v>
      </c>
      <c r="P19" s="128" t="str">
        <f t="shared" si="40"/>
        <v>Vertical well, depth 3000 to 4000m, 1 strings / completion</v>
      </c>
      <c r="Q19" s="128" t="str">
        <f t="shared" si="40"/>
        <v>Vertical well, depth 4000 to 5000m, 1 strings / completion</v>
      </c>
      <c r="R19" s="128" t="str">
        <f t="shared" si="40"/>
        <v>Vertical well, depth 5000 to 6000m, 1 strings / completion</v>
      </c>
      <c r="S19" s="128" t="str">
        <f t="shared" si="40"/>
        <v>Vertical well, depth 0 to 500m, 1 strings / completion</v>
      </c>
      <c r="T19" s="128" t="str">
        <f t="shared" si="40"/>
        <v>Vertical well, depth 500 to 1000m, 1 strings / completion</v>
      </c>
      <c r="U19" s="128" t="str">
        <f t="shared" si="40"/>
        <v>Vertical well, depth 1000 to 2000m, 1 strings / completion</v>
      </c>
      <c r="V19" s="128" t="str">
        <f t="shared" si="40"/>
        <v>Vertical well, depth 2000 to 3000m, 1 strings / completion</v>
      </c>
      <c r="W19" s="128" t="str">
        <f t="shared" si="40"/>
        <v>Vertical well, depth 3000 to 4000m, 1 strings / completion</v>
      </c>
      <c r="X19" s="128" t="str">
        <f t="shared" si="40"/>
        <v>Vertical well, depth 4000 to 5000m, 1 strings / completion</v>
      </c>
      <c r="Y19" s="128" t="str">
        <f t="shared" si="40"/>
        <v>Vertical well, depth 5000 to 6000m, 1 strings / completion</v>
      </c>
      <c r="Z19" s="128" t="str">
        <f t="shared" si="40"/>
        <v>Vertical well, depth 0 to 500m, 1 strings / completion</v>
      </c>
      <c r="AA19" s="128" t="str">
        <f t="shared" si="40"/>
        <v>Vertical well, depth 500 to 1000m, 1 strings / completion</v>
      </c>
      <c r="AB19" s="128" t="str">
        <f t="shared" si="40"/>
        <v>Vertical well, depth 1000 to 2000m, 1 strings / completion</v>
      </c>
      <c r="AC19" s="128" t="str">
        <f t="shared" si="40"/>
        <v>Vertical well, depth 2000 to 3000m, 1 strings / completion</v>
      </c>
      <c r="AD19" s="128" t="str">
        <f t="shared" si="40"/>
        <v>Vertical well, depth 3000 to 4000m, 1 strings / completion</v>
      </c>
      <c r="AE19" s="128" t="str">
        <f t="shared" si="40"/>
        <v>Vertical well, depth 4000 to 5000m, 1 strings / completion</v>
      </c>
      <c r="AF19" s="128" t="str">
        <f t="shared" si="40"/>
        <v>Vertical well, depth 5000 to 6000m, 1 strings / completion</v>
      </c>
      <c r="AG19" s="128" t="str">
        <f t="shared" si="40"/>
        <v>Vertical well, depth 0 to 500m, 1 strings / completion</v>
      </c>
      <c r="AH19" s="128" t="str">
        <f t="shared" si="40"/>
        <v>Vertical well, depth 500 to 1000m, 1 strings / completion</v>
      </c>
      <c r="AI19" s="128" t="str">
        <f t="shared" si="40"/>
        <v>Vertical well, depth 1000 to 2000m, 1 strings / completion</v>
      </c>
      <c r="AJ19" s="128" t="str">
        <f t="shared" si="40"/>
        <v>Vertical well, depth 2000 to 3000m, 1 strings / completion</v>
      </c>
      <c r="AK19" s="128" t="str">
        <f t="shared" si="40"/>
        <v>Vertical well, depth 3000 to 4000m, 1 strings / completion</v>
      </c>
      <c r="AL19" s="128" t="str">
        <f t="shared" si="40"/>
        <v>Vertical well, depth 4000 to 5000m, 1 strings / completion</v>
      </c>
      <c r="AM19" s="128" t="str">
        <f t="shared" si="40"/>
        <v>Vertical well, depth 5000 to 6000m, 1 strings / completion</v>
      </c>
      <c r="AN19" s="128" t="str">
        <f t="shared" si="40"/>
        <v>Vertical well, depth 0 to 500m, 1 strings / completion</v>
      </c>
      <c r="AO19" s="128" t="str">
        <f t="shared" si="40"/>
        <v>Vertical well, depth 500 to 1000m, 1 strings / completion</v>
      </c>
      <c r="AP19" s="128" t="str">
        <f t="shared" si="40"/>
        <v>Vertical well, depth 1000 to 2000m, 1 strings / completion</v>
      </c>
      <c r="AQ19" s="128" t="str">
        <f t="shared" si="40"/>
        <v>Vertical well, depth 2000 to 3000m, 1 strings / completion</v>
      </c>
      <c r="AR19" s="128" t="str">
        <f t="shared" si="40"/>
        <v>Vertical well, depth 3000 to 4000m, 1 strings / completion</v>
      </c>
      <c r="AS19" s="128" t="str">
        <f t="shared" si="40"/>
        <v>Vertical well, depth 4000 to 5000m, 1 strings / completion</v>
      </c>
      <c r="AT19" s="128" t="str">
        <f t="shared" si="40"/>
        <v>Vertical well, depth 5000 to 6000m, 1 strings / completion</v>
      </c>
    </row>
    <row r="20" spans="2:46">
      <c r="B20" s="1" t="s">
        <v>110</v>
      </c>
      <c r="C20" s="123" t="s">
        <v>111</v>
      </c>
      <c r="D20" s="129">
        <v>1.2</v>
      </c>
      <c r="E20" s="130">
        <f t="shared" ref="E20:AM20" si="41">D20</f>
        <v>1.2</v>
      </c>
      <c r="F20" s="130">
        <f t="shared" si="41"/>
        <v>1.2</v>
      </c>
      <c r="G20" s="130">
        <f t="shared" si="41"/>
        <v>1.2</v>
      </c>
      <c r="H20" s="130">
        <f t="shared" si="41"/>
        <v>1.2</v>
      </c>
      <c r="I20" s="130">
        <f t="shared" si="41"/>
        <v>1.2</v>
      </c>
      <c r="J20" s="130">
        <f t="shared" si="41"/>
        <v>1.2</v>
      </c>
      <c r="K20" s="130">
        <f t="shared" si="41"/>
        <v>1.2</v>
      </c>
      <c r="L20" s="130">
        <f t="shared" si="41"/>
        <v>1.2</v>
      </c>
      <c r="M20" s="130">
        <f t="shared" si="41"/>
        <v>1.2</v>
      </c>
      <c r="N20" s="130">
        <f t="shared" si="41"/>
        <v>1.2</v>
      </c>
      <c r="O20" s="130">
        <f t="shared" si="41"/>
        <v>1.2</v>
      </c>
      <c r="P20" s="130">
        <f t="shared" si="41"/>
        <v>1.2</v>
      </c>
      <c r="Q20" s="130">
        <f t="shared" si="41"/>
        <v>1.2</v>
      </c>
      <c r="R20" s="130">
        <f t="shared" si="41"/>
        <v>1.2</v>
      </c>
      <c r="S20" s="130">
        <f t="shared" si="41"/>
        <v>1.2</v>
      </c>
      <c r="T20" s="130">
        <f t="shared" si="41"/>
        <v>1.2</v>
      </c>
      <c r="U20" s="130">
        <f t="shared" si="41"/>
        <v>1.2</v>
      </c>
      <c r="V20" s="130">
        <f t="shared" si="41"/>
        <v>1.2</v>
      </c>
      <c r="W20" s="130">
        <f t="shared" si="41"/>
        <v>1.2</v>
      </c>
      <c r="X20" s="130">
        <f t="shared" si="41"/>
        <v>1.2</v>
      </c>
      <c r="Y20" s="130">
        <f t="shared" si="41"/>
        <v>1.2</v>
      </c>
      <c r="Z20" s="130">
        <f t="shared" si="41"/>
        <v>1.2</v>
      </c>
      <c r="AA20" s="130">
        <f t="shared" si="41"/>
        <v>1.2</v>
      </c>
      <c r="AB20" s="130">
        <f t="shared" si="41"/>
        <v>1.2</v>
      </c>
      <c r="AC20" s="130">
        <f t="shared" si="41"/>
        <v>1.2</v>
      </c>
      <c r="AD20" s="130">
        <f t="shared" si="41"/>
        <v>1.2</v>
      </c>
      <c r="AE20" s="130">
        <f t="shared" si="41"/>
        <v>1.2</v>
      </c>
      <c r="AF20" s="130">
        <f t="shared" si="41"/>
        <v>1.2</v>
      </c>
      <c r="AG20" s="130">
        <f t="shared" si="41"/>
        <v>1.2</v>
      </c>
      <c r="AH20" s="130">
        <f t="shared" si="41"/>
        <v>1.2</v>
      </c>
      <c r="AI20" s="130">
        <f t="shared" si="41"/>
        <v>1.2</v>
      </c>
      <c r="AJ20" s="130">
        <f t="shared" si="41"/>
        <v>1.2</v>
      </c>
      <c r="AK20" s="130">
        <f t="shared" si="41"/>
        <v>1.2</v>
      </c>
      <c r="AL20" s="130">
        <f t="shared" si="41"/>
        <v>1.2</v>
      </c>
      <c r="AM20" s="130">
        <f t="shared" si="41"/>
        <v>1.2</v>
      </c>
      <c r="AN20" s="130">
        <f t="shared" ref="AN20" si="42">AM20</f>
        <v>1.2</v>
      </c>
      <c r="AO20" s="130">
        <f t="shared" ref="AO20" si="43">AN20</f>
        <v>1.2</v>
      </c>
      <c r="AP20" s="130">
        <f t="shared" ref="AP20" si="44">AO20</f>
        <v>1.2</v>
      </c>
      <c r="AQ20" s="130">
        <f t="shared" ref="AQ20" si="45">AP20</f>
        <v>1.2</v>
      </c>
      <c r="AR20" s="130">
        <f t="shared" ref="AR20" si="46">AQ20</f>
        <v>1.2</v>
      </c>
      <c r="AS20" s="130">
        <f t="shared" ref="AS20" si="47">AR20</f>
        <v>1.2</v>
      </c>
      <c r="AT20" s="130">
        <f t="shared" ref="AT20" si="48">AS20</f>
        <v>1.2</v>
      </c>
    </row>
    <row r="21" spans="2:46">
      <c r="B21" s="125" t="s">
        <v>45</v>
      </c>
      <c r="C21" s="123" t="s">
        <v>112</v>
      </c>
      <c r="D21" s="123"/>
      <c r="E21" s="124">
        <f t="shared" ref="E21:AM21" si="49">E15*E20</f>
        <v>206557.68595775918</v>
      </c>
      <c r="F21" s="124">
        <f t="shared" si="49"/>
        <v>245572.6978732775</v>
      </c>
      <c r="G21" s="124">
        <f t="shared" si="49"/>
        <v>300386.96118473611</v>
      </c>
      <c r="H21" s="124">
        <f t="shared" si="49"/>
        <v>371654.7304539539</v>
      </c>
      <c r="I21" s="124">
        <f t="shared" si="49"/>
        <v>442922.49972317164</v>
      </c>
      <c r="J21" s="124">
        <f t="shared" si="49"/>
        <v>514190.26899238955</v>
      </c>
      <c r="K21" s="124">
        <f t="shared" si="49"/>
        <v>585458.03826160729</v>
      </c>
      <c r="L21" s="124">
        <f t="shared" si="49"/>
        <v>360013.86595775909</v>
      </c>
      <c r="M21" s="124">
        <f t="shared" si="49"/>
        <v>399028.87787327747</v>
      </c>
      <c r="N21" s="124">
        <f t="shared" si="49"/>
        <v>453843.1411847361</v>
      </c>
      <c r="O21" s="124">
        <f t="shared" si="49"/>
        <v>525110.9104539539</v>
      </c>
      <c r="P21" s="124">
        <f t="shared" si="49"/>
        <v>596378.67972317163</v>
      </c>
      <c r="Q21" s="124">
        <f t="shared" si="49"/>
        <v>667646.44899238937</v>
      </c>
      <c r="R21" s="124">
        <f t="shared" si="49"/>
        <v>738914.21826160722</v>
      </c>
      <c r="S21" s="124">
        <f t="shared" si="49"/>
        <v>513470.04595775902</v>
      </c>
      <c r="T21" s="124">
        <f t="shared" si="49"/>
        <v>552485.05787327746</v>
      </c>
      <c r="U21" s="124">
        <f t="shared" si="49"/>
        <v>607299.32118473598</v>
      </c>
      <c r="V21" s="124">
        <f t="shared" si="49"/>
        <v>678567.09045395383</v>
      </c>
      <c r="W21" s="124">
        <f t="shared" si="49"/>
        <v>749834.85972317157</v>
      </c>
      <c r="X21" s="124">
        <f t="shared" si="49"/>
        <v>821102.62899238942</v>
      </c>
      <c r="Y21" s="124">
        <f t="shared" si="49"/>
        <v>892370.39826160728</v>
      </c>
      <c r="Z21" s="124">
        <f t="shared" si="49"/>
        <v>666926.22595775919</v>
      </c>
      <c r="AA21" s="124">
        <f t="shared" si="49"/>
        <v>705941.23787327751</v>
      </c>
      <c r="AB21" s="124">
        <f t="shared" si="49"/>
        <v>760755.50118473615</v>
      </c>
      <c r="AC21" s="124">
        <f t="shared" si="49"/>
        <v>832023.27045395388</v>
      </c>
      <c r="AD21" s="124">
        <f t="shared" si="49"/>
        <v>903291.0397231715</v>
      </c>
      <c r="AE21" s="124">
        <f t="shared" si="49"/>
        <v>974558.80899238947</v>
      </c>
      <c r="AF21" s="124">
        <f t="shared" si="49"/>
        <v>1045826.5782616072</v>
      </c>
      <c r="AG21" s="124">
        <f t="shared" si="49"/>
        <v>820382.40595775924</v>
      </c>
      <c r="AH21" s="124">
        <f t="shared" si="49"/>
        <v>859397.41787327745</v>
      </c>
      <c r="AI21" s="124">
        <f t="shared" si="49"/>
        <v>914211.6811847362</v>
      </c>
      <c r="AJ21" s="124">
        <f t="shared" si="49"/>
        <v>985479.45045395393</v>
      </c>
      <c r="AK21" s="124">
        <f t="shared" si="49"/>
        <v>1056747.2197231716</v>
      </c>
      <c r="AL21" s="124">
        <f t="shared" si="49"/>
        <v>1128014.9889923895</v>
      </c>
      <c r="AM21" s="124">
        <f t="shared" si="49"/>
        <v>1199282.7582616073</v>
      </c>
      <c r="AN21" s="124">
        <f t="shared" ref="AN21:AT21" si="50">AN15*AN20</f>
        <v>973838.58595775906</v>
      </c>
      <c r="AO21" s="124">
        <f t="shared" si="50"/>
        <v>1012853.5978732774</v>
      </c>
      <c r="AP21" s="124">
        <f t="shared" si="50"/>
        <v>1067667.861184736</v>
      </c>
      <c r="AQ21" s="124">
        <f t="shared" si="50"/>
        <v>1138935.6304539538</v>
      </c>
      <c r="AR21" s="124">
        <f t="shared" si="50"/>
        <v>1210203.3997231715</v>
      </c>
      <c r="AS21" s="124">
        <f t="shared" si="50"/>
        <v>1281471.1689923892</v>
      </c>
      <c r="AT21" s="124">
        <f t="shared" si="50"/>
        <v>1352738.938261607</v>
      </c>
    </row>
    <row r="22" spans="2:46" ht="15" thickBot="1">
      <c r="B22" s="125" t="s">
        <v>108</v>
      </c>
      <c r="C22" s="123" t="s">
        <v>112</v>
      </c>
      <c r="D22" s="123"/>
      <c r="E22" s="131">
        <f t="shared" ref="E22:AM22" si="51">CEILING(E21,1000)</f>
        <v>207000</v>
      </c>
      <c r="F22" s="131">
        <f t="shared" si="51"/>
        <v>246000</v>
      </c>
      <c r="G22" s="131">
        <f t="shared" si="51"/>
        <v>301000</v>
      </c>
      <c r="H22" s="131">
        <f t="shared" si="51"/>
        <v>372000</v>
      </c>
      <c r="I22" s="131">
        <f t="shared" si="51"/>
        <v>443000</v>
      </c>
      <c r="J22" s="131">
        <f t="shared" si="51"/>
        <v>515000</v>
      </c>
      <c r="K22" s="131">
        <f t="shared" si="51"/>
        <v>586000</v>
      </c>
      <c r="L22" s="131">
        <f t="shared" si="51"/>
        <v>361000</v>
      </c>
      <c r="M22" s="131">
        <f t="shared" si="51"/>
        <v>400000</v>
      </c>
      <c r="N22" s="131">
        <f t="shared" si="51"/>
        <v>454000</v>
      </c>
      <c r="O22" s="131">
        <f t="shared" si="51"/>
        <v>526000</v>
      </c>
      <c r="P22" s="131">
        <f t="shared" si="51"/>
        <v>597000</v>
      </c>
      <c r="Q22" s="131">
        <f t="shared" si="51"/>
        <v>668000</v>
      </c>
      <c r="R22" s="131">
        <f t="shared" si="51"/>
        <v>739000</v>
      </c>
      <c r="S22" s="131">
        <f t="shared" si="51"/>
        <v>514000</v>
      </c>
      <c r="T22" s="131">
        <f t="shared" si="51"/>
        <v>553000</v>
      </c>
      <c r="U22" s="131">
        <f t="shared" si="51"/>
        <v>608000</v>
      </c>
      <c r="V22" s="131">
        <f t="shared" si="51"/>
        <v>679000</v>
      </c>
      <c r="W22" s="131">
        <f t="shared" si="51"/>
        <v>750000</v>
      </c>
      <c r="X22" s="131">
        <f t="shared" si="51"/>
        <v>822000</v>
      </c>
      <c r="Y22" s="131">
        <f t="shared" si="51"/>
        <v>893000</v>
      </c>
      <c r="Z22" s="131">
        <f t="shared" si="51"/>
        <v>667000</v>
      </c>
      <c r="AA22" s="131">
        <f t="shared" si="51"/>
        <v>706000</v>
      </c>
      <c r="AB22" s="131">
        <f t="shared" si="51"/>
        <v>761000</v>
      </c>
      <c r="AC22" s="131">
        <f t="shared" si="51"/>
        <v>833000</v>
      </c>
      <c r="AD22" s="131">
        <f t="shared" si="51"/>
        <v>904000</v>
      </c>
      <c r="AE22" s="131">
        <f t="shared" si="51"/>
        <v>975000</v>
      </c>
      <c r="AF22" s="131">
        <f t="shared" si="51"/>
        <v>1046000</v>
      </c>
      <c r="AG22" s="131">
        <f t="shared" si="51"/>
        <v>821000</v>
      </c>
      <c r="AH22" s="131">
        <f t="shared" si="51"/>
        <v>860000</v>
      </c>
      <c r="AI22" s="131">
        <f t="shared" si="51"/>
        <v>915000</v>
      </c>
      <c r="AJ22" s="131">
        <f t="shared" si="51"/>
        <v>986000</v>
      </c>
      <c r="AK22" s="131">
        <f t="shared" si="51"/>
        <v>1057000</v>
      </c>
      <c r="AL22" s="131">
        <f t="shared" si="51"/>
        <v>1129000</v>
      </c>
      <c r="AM22" s="131">
        <f t="shared" si="51"/>
        <v>1200000</v>
      </c>
      <c r="AN22" s="131">
        <f t="shared" ref="AN22:AT22" si="52">CEILING(AN21,1000)</f>
        <v>974000</v>
      </c>
      <c r="AO22" s="131">
        <f t="shared" si="52"/>
        <v>1013000</v>
      </c>
      <c r="AP22" s="131">
        <f t="shared" si="52"/>
        <v>1068000</v>
      </c>
      <c r="AQ22" s="131">
        <f t="shared" si="52"/>
        <v>1139000</v>
      </c>
      <c r="AR22" s="131">
        <f t="shared" si="52"/>
        <v>1211000</v>
      </c>
      <c r="AS22" s="131">
        <f t="shared" si="52"/>
        <v>1282000</v>
      </c>
      <c r="AT22" s="131">
        <f t="shared" si="52"/>
        <v>1353000</v>
      </c>
    </row>
    <row r="23" spans="2:46" ht="15" thickTop="1">
      <c r="B23" s="123"/>
      <c r="C23" s="123" t="s">
        <v>113</v>
      </c>
      <c r="D23" s="123"/>
      <c r="E23" s="127">
        <f t="shared" ref="E23:AM23" si="53">E22/E29</f>
        <v>828</v>
      </c>
      <c r="F23" s="127">
        <f t="shared" si="53"/>
        <v>328</v>
      </c>
      <c r="G23" s="127">
        <f t="shared" si="53"/>
        <v>200.66666666666666</v>
      </c>
      <c r="H23" s="127">
        <f t="shared" si="53"/>
        <v>148.80000000000001</v>
      </c>
      <c r="I23" s="127">
        <f t="shared" si="53"/>
        <v>126.57142857142857</v>
      </c>
      <c r="J23" s="127">
        <f t="shared" si="53"/>
        <v>114.44444444444444</v>
      </c>
      <c r="K23" s="127">
        <f t="shared" si="53"/>
        <v>106.54545454545455</v>
      </c>
      <c r="L23" s="127">
        <f t="shared" si="53"/>
        <v>1444</v>
      </c>
      <c r="M23" s="127">
        <f t="shared" si="53"/>
        <v>533.33333333333337</v>
      </c>
      <c r="N23" s="127">
        <f t="shared" si="53"/>
        <v>302.66666666666669</v>
      </c>
      <c r="O23" s="127">
        <f t="shared" si="53"/>
        <v>210.4</v>
      </c>
      <c r="P23" s="127">
        <f t="shared" si="53"/>
        <v>170.57142857142858</v>
      </c>
      <c r="Q23" s="127">
        <f t="shared" si="53"/>
        <v>148.44444444444446</v>
      </c>
      <c r="R23" s="127">
        <f t="shared" si="53"/>
        <v>134.36363636363637</v>
      </c>
      <c r="S23" s="127">
        <f t="shared" si="53"/>
        <v>2056</v>
      </c>
      <c r="T23" s="127">
        <f t="shared" si="53"/>
        <v>737.33333333333337</v>
      </c>
      <c r="U23" s="127">
        <f t="shared" si="53"/>
        <v>405.33333333333331</v>
      </c>
      <c r="V23" s="127">
        <f t="shared" si="53"/>
        <v>271.60000000000002</v>
      </c>
      <c r="W23" s="127">
        <f t="shared" si="53"/>
        <v>214.28571428571428</v>
      </c>
      <c r="X23" s="127">
        <f t="shared" si="53"/>
        <v>182.66666666666666</v>
      </c>
      <c r="Y23" s="127">
        <f t="shared" si="53"/>
        <v>162.36363636363637</v>
      </c>
      <c r="Z23" s="127">
        <f t="shared" si="53"/>
        <v>2668</v>
      </c>
      <c r="AA23" s="127">
        <f t="shared" si="53"/>
        <v>941.33333333333337</v>
      </c>
      <c r="AB23" s="127">
        <f t="shared" si="53"/>
        <v>507.33333333333331</v>
      </c>
      <c r="AC23" s="127">
        <f t="shared" si="53"/>
        <v>333.2</v>
      </c>
      <c r="AD23" s="127">
        <f t="shared" si="53"/>
        <v>258.28571428571428</v>
      </c>
      <c r="AE23" s="127">
        <f t="shared" si="53"/>
        <v>216.66666666666666</v>
      </c>
      <c r="AF23" s="127">
        <f t="shared" si="53"/>
        <v>190.18181818181819</v>
      </c>
      <c r="AG23" s="127">
        <f t="shared" si="53"/>
        <v>3284</v>
      </c>
      <c r="AH23" s="127">
        <f t="shared" si="53"/>
        <v>1146.6666666666667</v>
      </c>
      <c r="AI23" s="127">
        <f t="shared" si="53"/>
        <v>610</v>
      </c>
      <c r="AJ23" s="127">
        <f t="shared" si="53"/>
        <v>394.4</v>
      </c>
      <c r="AK23" s="127">
        <f t="shared" si="53"/>
        <v>302</v>
      </c>
      <c r="AL23" s="127">
        <f t="shared" si="53"/>
        <v>250.88888888888889</v>
      </c>
      <c r="AM23" s="127">
        <f t="shared" si="53"/>
        <v>218.18181818181819</v>
      </c>
      <c r="AN23" s="127">
        <f t="shared" ref="AN23:AT23" si="54">AN22/AN29</f>
        <v>3896</v>
      </c>
      <c r="AO23" s="127">
        <f t="shared" si="54"/>
        <v>1350.6666666666667</v>
      </c>
      <c r="AP23" s="127">
        <f t="shared" si="54"/>
        <v>712</v>
      </c>
      <c r="AQ23" s="127">
        <f t="shared" si="54"/>
        <v>455.6</v>
      </c>
      <c r="AR23" s="127">
        <f t="shared" si="54"/>
        <v>346</v>
      </c>
      <c r="AS23" s="127">
        <f t="shared" si="54"/>
        <v>284.88888888888891</v>
      </c>
      <c r="AT23" s="127">
        <f t="shared" si="54"/>
        <v>246</v>
      </c>
    </row>
    <row r="24" spans="2:46">
      <c r="B24" s="123"/>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row>
    <row r="25" spans="2:46">
      <c r="B25" s="7" t="s">
        <v>114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2:46">
      <c r="B26" s="1" t="s">
        <v>115</v>
      </c>
      <c r="C26" s="123" t="s">
        <v>116</v>
      </c>
      <c r="D26" s="123"/>
      <c r="E26" s="132">
        <f>Assumptions!$C$111</f>
        <v>200</v>
      </c>
      <c r="F26" s="132">
        <f>Assumptions!$C$111</f>
        <v>200</v>
      </c>
      <c r="G26" s="132">
        <f>Assumptions!$C$111</f>
        <v>200</v>
      </c>
      <c r="H26" s="132">
        <f>Assumptions!$C$111</f>
        <v>200</v>
      </c>
      <c r="I26" s="132">
        <f>Assumptions!$C$111</f>
        <v>200</v>
      </c>
      <c r="J26" s="132">
        <f>Assumptions!$C$111</f>
        <v>200</v>
      </c>
      <c r="K26" s="132">
        <f>Assumptions!$C$111</f>
        <v>200</v>
      </c>
      <c r="L26" s="132">
        <f>Assumptions!$C$111</f>
        <v>200</v>
      </c>
      <c r="M26" s="132">
        <f>Assumptions!$C$111</f>
        <v>200</v>
      </c>
      <c r="N26" s="132">
        <f>Assumptions!$C$111</f>
        <v>200</v>
      </c>
      <c r="O26" s="132">
        <f>Assumptions!$C$111</f>
        <v>200</v>
      </c>
      <c r="P26" s="132">
        <f>Assumptions!$C$111</f>
        <v>200</v>
      </c>
      <c r="Q26" s="132">
        <f>Assumptions!$C$111</f>
        <v>200</v>
      </c>
      <c r="R26" s="132">
        <f>Assumptions!$C$111</f>
        <v>200</v>
      </c>
      <c r="S26" s="132">
        <f>Assumptions!$C$111</f>
        <v>200</v>
      </c>
      <c r="T26" s="132">
        <f>Assumptions!$C$111</f>
        <v>200</v>
      </c>
      <c r="U26" s="132">
        <f>Assumptions!$C$111</f>
        <v>200</v>
      </c>
      <c r="V26" s="132">
        <f>Assumptions!$C$111</f>
        <v>200</v>
      </c>
      <c r="W26" s="132">
        <f>Assumptions!$C$111</f>
        <v>200</v>
      </c>
      <c r="X26" s="132">
        <f>Assumptions!$C$111</f>
        <v>200</v>
      </c>
      <c r="Y26" s="132">
        <f>Assumptions!$C$111</f>
        <v>200</v>
      </c>
      <c r="Z26" s="132">
        <f>Assumptions!$C$111</f>
        <v>200</v>
      </c>
      <c r="AA26" s="132">
        <f>Assumptions!$C$111</f>
        <v>200</v>
      </c>
      <c r="AB26" s="132">
        <f>Assumptions!$C$111</f>
        <v>200</v>
      </c>
      <c r="AC26" s="132">
        <f>Assumptions!$C$111</f>
        <v>200</v>
      </c>
      <c r="AD26" s="132">
        <f>Assumptions!$C$111</f>
        <v>200</v>
      </c>
      <c r="AE26" s="132">
        <f>Assumptions!$C$111</f>
        <v>200</v>
      </c>
      <c r="AF26" s="132">
        <f>Assumptions!$C$111</f>
        <v>200</v>
      </c>
      <c r="AG26" s="132">
        <f>Assumptions!$C$111</f>
        <v>200</v>
      </c>
      <c r="AH26" s="132">
        <f>Assumptions!$C$111</f>
        <v>200</v>
      </c>
      <c r="AI26" s="132">
        <f>Assumptions!$C$111</f>
        <v>200</v>
      </c>
      <c r="AJ26" s="132">
        <f>Assumptions!$C$111</f>
        <v>200</v>
      </c>
      <c r="AK26" s="132">
        <f>Assumptions!$C$111</f>
        <v>200</v>
      </c>
      <c r="AL26" s="132">
        <f>Assumptions!$C$111</f>
        <v>200</v>
      </c>
      <c r="AM26" s="132">
        <f>Assumptions!$C$111</f>
        <v>200</v>
      </c>
      <c r="AN26" s="132">
        <f>Assumptions!$C$111</f>
        <v>200</v>
      </c>
      <c r="AO26" s="132">
        <f>Assumptions!$C$111</f>
        <v>200</v>
      </c>
      <c r="AP26" s="132">
        <f>Assumptions!$C$111</f>
        <v>200</v>
      </c>
      <c r="AQ26" s="132">
        <f>Assumptions!$C$111</f>
        <v>200</v>
      </c>
      <c r="AR26" s="132">
        <f>Assumptions!$C$111</f>
        <v>200</v>
      </c>
      <c r="AS26" s="132">
        <f>Assumptions!$C$111</f>
        <v>200</v>
      </c>
      <c r="AT26" s="132">
        <f>Assumptions!$C$111</f>
        <v>200</v>
      </c>
    </row>
    <row r="27" spans="2:46">
      <c r="B27" s="1" t="s">
        <v>117</v>
      </c>
      <c r="C27" s="123" t="s">
        <v>90</v>
      </c>
      <c r="D27" s="123"/>
      <c r="E27" s="132">
        <v>0</v>
      </c>
      <c r="F27" s="132">
        <f>E28</f>
        <v>500</v>
      </c>
      <c r="G27" s="132">
        <f>F28</f>
        <v>1000</v>
      </c>
      <c r="H27" s="132">
        <f>G28</f>
        <v>2000</v>
      </c>
      <c r="I27" s="132">
        <f t="shared" ref="I27:K27" si="55">H28</f>
        <v>3000</v>
      </c>
      <c r="J27" s="132">
        <f t="shared" si="55"/>
        <v>4000</v>
      </c>
      <c r="K27" s="132">
        <f t="shared" si="55"/>
        <v>5000</v>
      </c>
      <c r="L27" s="132">
        <f>E27</f>
        <v>0</v>
      </c>
      <c r="M27" s="132">
        <f t="shared" ref="M27:AM28" si="56">F27</f>
        <v>500</v>
      </c>
      <c r="N27" s="132">
        <f t="shared" si="56"/>
        <v>1000</v>
      </c>
      <c r="O27" s="132">
        <f t="shared" si="56"/>
        <v>2000</v>
      </c>
      <c r="P27" s="132">
        <f t="shared" si="56"/>
        <v>3000</v>
      </c>
      <c r="Q27" s="132">
        <f t="shared" si="56"/>
        <v>4000</v>
      </c>
      <c r="R27" s="132">
        <f t="shared" si="56"/>
        <v>5000</v>
      </c>
      <c r="S27" s="132">
        <f t="shared" si="56"/>
        <v>0</v>
      </c>
      <c r="T27" s="132">
        <f t="shared" si="56"/>
        <v>500</v>
      </c>
      <c r="U27" s="132">
        <f t="shared" si="56"/>
        <v>1000</v>
      </c>
      <c r="V27" s="132">
        <f t="shared" si="56"/>
        <v>2000</v>
      </c>
      <c r="W27" s="132">
        <f t="shared" si="56"/>
        <v>3000</v>
      </c>
      <c r="X27" s="132">
        <f t="shared" si="56"/>
        <v>4000</v>
      </c>
      <c r="Y27" s="132">
        <f t="shared" si="56"/>
        <v>5000</v>
      </c>
      <c r="Z27" s="132">
        <f t="shared" si="56"/>
        <v>0</v>
      </c>
      <c r="AA27" s="132">
        <f t="shared" si="56"/>
        <v>500</v>
      </c>
      <c r="AB27" s="132">
        <f t="shared" si="56"/>
        <v>1000</v>
      </c>
      <c r="AC27" s="132">
        <f t="shared" si="56"/>
        <v>2000</v>
      </c>
      <c r="AD27" s="132">
        <f t="shared" si="56"/>
        <v>3000</v>
      </c>
      <c r="AE27" s="132">
        <f t="shared" si="56"/>
        <v>4000</v>
      </c>
      <c r="AF27" s="132">
        <f t="shared" si="56"/>
        <v>5000</v>
      </c>
      <c r="AG27" s="132">
        <f t="shared" si="56"/>
        <v>0</v>
      </c>
      <c r="AH27" s="132">
        <f t="shared" si="56"/>
        <v>500</v>
      </c>
      <c r="AI27" s="132">
        <f t="shared" si="56"/>
        <v>1000</v>
      </c>
      <c r="AJ27" s="132">
        <f t="shared" si="56"/>
        <v>2000</v>
      </c>
      <c r="AK27" s="132">
        <f t="shared" si="56"/>
        <v>3000</v>
      </c>
      <c r="AL27" s="132">
        <f t="shared" si="56"/>
        <v>4000</v>
      </c>
      <c r="AM27" s="132">
        <f t="shared" si="56"/>
        <v>5000</v>
      </c>
      <c r="AN27" s="132">
        <f t="shared" ref="AN27:AN28" si="57">AG27</f>
        <v>0</v>
      </c>
      <c r="AO27" s="132">
        <f t="shared" ref="AO27:AO28" si="58">AH27</f>
        <v>500</v>
      </c>
      <c r="AP27" s="132">
        <f t="shared" ref="AP27:AP28" si="59">AI27</f>
        <v>1000</v>
      </c>
      <c r="AQ27" s="132">
        <f t="shared" ref="AQ27:AQ28" si="60">AJ27</f>
        <v>2000</v>
      </c>
      <c r="AR27" s="132">
        <f t="shared" ref="AR27:AR28" si="61">AK27</f>
        <v>3000</v>
      </c>
      <c r="AS27" s="132">
        <f t="shared" ref="AS27:AS28" si="62">AL27</f>
        <v>4000</v>
      </c>
      <c r="AT27" s="132">
        <f t="shared" ref="AT27:AT28" si="63">AM27</f>
        <v>5000</v>
      </c>
    </row>
    <row r="28" spans="2:46">
      <c r="B28" s="1" t="s">
        <v>118</v>
      </c>
      <c r="C28" s="123" t="s">
        <v>90</v>
      </c>
      <c r="D28" s="123"/>
      <c r="E28" s="132">
        <f>E27+500</f>
        <v>500</v>
      </c>
      <c r="F28" s="132">
        <f>F27+500</f>
        <v>1000</v>
      </c>
      <c r="G28" s="132">
        <f>F28+1000</f>
        <v>2000</v>
      </c>
      <c r="H28" s="132">
        <f t="shared" ref="H28:K28" si="64">G28+1000</f>
        <v>3000</v>
      </c>
      <c r="I28" s="132">
        <f t="shared" si="64"/>
        <v>4000</v>
      </c>
      <c r="J28" s="132">
        <f t="shared" si="64"/>
        <v>5000</v>
      </c>
      <c r="K28" s="132">
        <f t="shared" si="64"/>
        <v>6000</v>
      </c>
      <c r="L28" s="132">
        <f>E28</f>
        <v>500</v>
      </c>
      <c r="M28" s="132">
        <f t="shared" si="56"/>
        <v>1000</v>
      </c>
      <c r="N28" s="132">
        <f t="shared" si="56"/>
        <v>2000</v>
      </c>
      <c r="O28" s="132">
        <f t="shared" si="56"/>
        <v>3000</v>
      </c>
      <c r="P28" s="132">
        <f t="shared" si="56"/>
        <v>4000</v>
      </c>
      <c r="Q28" s="132">
        <f t="shared" si="56"/>
        <v>5000</v>
      </c>
      <c r="R28" s="132">
        <f t="shared" si="56"/>
        <v>6000</v>
      </c>
      <c r="S28" s="132">
        <f t="shared" si="56"/>
        <v>500</v>
      </c>
      <c r="T28" s="132">
        <f t="shared" si="56"/>
        <v>1000</v>
      </c>
      <c r="U28" s="132">
        <f t="shared" si="56"/>
        <v>2000</v>
      </c>
      <c r="V28" s="132">
        <f t="shared" si="56"/>
        <v>3000</v>
      </c>
      <c r="W28" s="132">
        <f t="shared" si="56"/>
        <v>4000</v>
      </c>
      <c r="X28" s="132">
        <f t="shared" si="56"/>
        <v>5000</v>
      </c>
      <c r="Y28" s="132">
        <f t="shared" si="56"/>
        <v>6000</v>
      </c>
      <c r="Z28" s="132">
        <f t="shared" si="56"/>
        <v>500</v>
      </c>
      <c r="AA28" s="132">
        <f t="shared" si="56"/>
        <v>1000</v>
      </c>
      <c r="AB28" s="132">
        <f t="shared" si="56"/>
        <v>2000</v>
      </c>
      <c r="AC28" s="132">
        <f t="shared" si="56"/>
        <v>3000</v>
      </c>
      <c r="AD28" s="132">
        <f t="shared" si="56"/>
        <v>4000</v>
      </c>
      <c r="AE28" s="132">
        <f t="shared" si="56"/>
        <v>5000</v>
      </c>
      <c r="AF28" s="132">
        <f t="shared" si="56"/>
        <v>6000</v>
      </c>
      <c r="AG28" s="132">
        <f t="shared" si="56"/>
        <v>500</v>
      </c>
      <c r="AH28" s="132">
        <f t="shared" si="56"/>
        <v>1000</v>
      </c>
      <c r="AI28" s="132">
        <f t="shared" si="56"/>
        <v>2000</v>
      </c>
      <c r="AJ28" s="132">
        <f t="shared" si="56"/>
        <v>3000</v>
      </c>
      <c r="AK28" s="132">
        <f t="shared" si="56"/>
        <v>4000</v>
      </c>
      <c r="AL28" s="132">
        <f t="shared" si="56"/>
        <v>5000</v>
      </c>
      <c r="AM28" s="132">
        <f t="shared" si="56"/>
        <v>6000</v>
      </c>
      <c r="AN28" s="132">
        <f t="shared" si="57"/>
        <v>500</v>
      </c>
      <c r="AO28" s="132">
        <f t="shared" si="58"/>
        <v>1000</v>
      </c>
      <c r="AP28" s="132">
        <f t="shared" si="59"/>
        <v>2000</v>
      </c>
      <c r="AQ28" s="132">
        <f t="shared" si="60"/>
        <v>3000</v>
      </c>
      <c r="AR28" s="132">
        <f t="shared" si="61"/>
        <v>4000</v>
      </c>
      <c r="AS28" s="132">
        <f t="shared" si="62"/>
        <v>5000</v>
      </c>
      <c r="AT28" s="132">
        <f t="shared" si="63"/>
        <v>6000</v>
      </c>
    </row>
    <row r="29" spans="2:46">
      <c r="B29" s="1" t="s">
        <v>119</v>
      </c>
      <c r="C29" s="123" t="s">
        <v>90</v>
      </c>
      <c r="D29" s="123"/>
      <c r="E29" s="133">
        <f>AVERAGE(E27:E28)</f>
        <v>250</v>
      </c>
      <c r="F29" s="133">
        <f t="shared" ref="F29:P29" si="65">AVERAGE(F27:F28)</f>
        <v>750</v>
      </c>
      <c r="G29" s="133">
        <f t="shared" si="65"/>
        <v>1500</v>
      </c>
      <c r="H29" s="133">
        <f t="shared" si="65"/>
        <v>2500</v>
      </c>
      <c r="I29" s="133">
        <f t="shared" si="65"/>
        <v>3500</v>
      </c>
      <c r="J29" s="133">
        <f t="shared" si="65"/>
        <v>4500</v>
      </c>
      <c r="K29" s="133">
        <f t="shared" si="65"/>
        <v>5500</v>
      </c>
      <c r="L29" s="133">
        <f t="shared" si="65"/>
        <v>250</v>
      </c>
      <c r="M29" s="133">
        <f t="shared" si="65"/>
        <v>750</v>
      </c>
      <c r="N29" s="133">
        <f t="shared" si="65"/>
        <v>1500</v>
      </c>
      <c r="O29" s="133">
        <f t="shared" si="65"/>
        <v>2500</v>
      </c>
      <c r="P29" s="133">
        <f t="shared" si="65"/>
        <v>3500</v>
      </c>
      <c r="Q29" s="133">
        <f>AVERAGE(Q27:Q28)</f>
        <v>4500</v>
      </c>
      <c r="R29" s="133">
        <f t="shared" ref="R29:AB29" si="66">AVERAGE(R27:R28)</f>
        <v>5500</v>
      </c>
      <c r="S29" s="133">
        <f t="shared" si="66"/>
        <v>250</v>
      </c>
      <c r="T29" s="133">
        <f t="shared" si="66"/>
        <v>750</v>
      </c>
      <c r="U29" s="133">
        <f t="shared" si="66"/>
        <v>1500</v>
      </c>
      <c r="V29" s="133">
        <f t="shared" si="66"/>
        <v>2500</v>
      </c>
      <c r="W29" s="133">
        <f t="shared" si="66"/>
        <v>3500</v>
      </c>
      <c r="X29" s="133">
        <f t="shared" si="66"/>
        <v>4500</v>
      </c>
      <c r="Y29" s="133">
        <f t="shared" si="66"/>
        <v>5500</v>
      </c>
      <c r="Z29" s="133">
        <f t="shared" si="66"/>
        <v>250</v>
      </c>
      <c r="AA29" s="133">
        <f t="shared" si="66"/>
        <v>750</v>
      </c>
      <c r="AB29" s="133">
        <f t="shared" si="66"/>
        <v>1500</v>
      </c>
      <c r="AC29" s="133">
        <f>AVERAGE(AC27:AC28)</f>
        <v>2500</v>
      </c>
      <c r="AD29" s="133">
        <f t="shared" ref="AD29:AM29" si="67">AVERAGE(AD27:AD28)</f>
        <v>3500</v>
      </c>
      <c r="AE29" s="133">
        <f t="shared" si="67"/>
        <v>4500</v>
      </c>
      <c r="AF29" s="133">
        <f t="shared" si="67"/>
        <v>5500</v>
      </c>
      <c r="AG29" s="133">
        <f t="shared" si="67"/>
        <v>250</v>
      </c>
      <c r="AH29" s="133">
        <f t="shared" si="67"/>
        <v>750</v>
      </c>
      <c r="AI29" s="133">
        <f t="shared" si="67"/>
        <v>1500</v>
      </c>
      <c r="AJ29" s="133">
        <f t="shared" si="67"/>
        <v>2500</v>
      </c>
      <c r="AK29" s="133">
        <f t="shared" si="67"/>
        <v>3500</v>
      </c>
      <c r="AL29" s="133">
        <f t="shared" si="67"/>
        <v>4500</v>
      </c>
      <c r="AM29" s="133">
        <f t="shared" si="67"/>
        <v>5500</v>
      </c>
      <c r="AN29" s="133">
        <f t="shared" ref="AN29:AT29" si="68">AVERAGE(AN27:AN28)</f>
        <v>250</v>
      </c>
      <c r="AO29" s="133">
        <f t="shared" si="68"/>
        <v>750</v>
      </c>
      <c r="AP29" s="133">
        <f t="shared" si="68"/>
        <v>1500</v>
      </c>
      <c r="AQ29" s="133">
        <f t="shared" si="68"/>
        <v>2500</v>
      </c>
      <c r="AR29" s="133">
        <f t="shared" si="68"/>
        <v>3500</v>
      </c>
      <c r="AS29" s="133">
        <f t="shared" si="68"/>
        <v>4500</v>
      </c>
      <c r="AT29" s="133">
        <f t="shared" si="68"/>
        <v>5500</v>
      </c>
    </row>
    <row r="30" spans="2:46">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row>
    <row r="31" spans="2:46">
      <c r="B31" s="7" t="s">
        <v>120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row>
    <row r="32" spans="2:46">
      <c r="B32" s="1" t="s">
        <v>121</v>
      </c>
      <c r="C32" s="123" t="s">
        <v>91</v>
      </c>
      <c r="D32" s="123"/>
      <c r="E32" s="133">
        <f t="shared" ref="E32:AT32" si="69">E29*PI()*(E26/Millimetres_in_metres/2)^2</f>
        <v>7.8539816339744837</v>
      </c>
      <c r="F32" s="133">
        <f t="shared" si="69"/>
        <v>23.561944901923454</v>
      </c>
      <c r="G32" s="133">
        <f t="shared" si="69"/>
        <v>47.123889803846907</v>
      </c>
      <c r="H32" s="133">
        <f t="shared" si="69"/>
        <v>78.539816339744846</v>
      </c>
      <c r="I32" s="133">
        <f t="shared" si="69"/>
        <v>109.95574287564277</v>
      </c>
      <c r="J32" s="133">
        <f t="shared" si="69"/>
        <v>141.37166941154072</v>
      </c>
      <c r="K32" s="133">
        <f t="shared" si="69"/>
        <v>172.78759594743863</v>
      </c>
      <c r="L32" s="133">
        <f t="shared" si="69"/>
        <v>7.8539816339744837</v>
      </c>
      <c r="M32" s="133">
        <f t="shared" si="69"/>
        <v>23.561944901923454</v>
      </c>
      <c r="N32" s="133">
        <f t="shared" si="69"/>
        <v>47.123889803846907</v>
      </c>
      <c r="O32" s="133">
        <f t="shared" si="69"/>
        <v>78.539816339744846</v>
      </c>
      <c r="P32" s="133">
        <f t="shared" si="69"/>
        <v>109.95574287564277</v>
      </c>
      <c r="Q32" s="133">
        <f t="shared" si="69"/>
        <v>141.37166941154072</v>
      </c>
      <c r="R32" s="133">
        <f t="shared" si="69"/>
        <v>172.78759594743863</v>
      </c>
      <c r="S32" s="133">
        <f t="shared" si="69"/>
        <v>7.8539816339744837</v>
      </c>
      <c r="T32" s="133">
        <f t="shared" si="69"/>
        <v>23.561944901923454</v>
      </c>
      <c r="U32" s="133">
        <f t="shared" si="69"/>
        <v>47.123889803846907</v>
      </c>
      <c r="V32" s="133">
        <f t="shared" si="69"/>
        <v>78.539816339744846</v>
      </c>
      <c r="W32" s="133">
        <f t="shared" si="69"/>
        <v>109.95574287564277</v>
      </c>
      <c r="X32" s="133">
        <f t="shared" si="69"/>
        <v>141.37166941154072</v>
      </c>
      <c r="Y32" s="133">
        <f t="shared" si="69"/>
        <v>172.78759594743863</v>
      </c>
      <c r="Z32" s="133">
        <f t="shared" si="69"/>
        <v>7.8539816339744837</v>
      </c>
      <c r="AA32" s="133">
        <f t="shared" si="69"/>
        <v>23.561944901923454</v>
      </c>
      <c r="AB32" s="133">
        <f t="shared" si="69"/>
        <v>47.123889803846907</v>
      </c>
      <c r="AC32" s="133">
        <f t="shared" si="69"/>
        <v>78.539816339744846</v>
      </c>
      <c r="AD32" s="133">
        <f t="shared" si="69"/>
        <v>109.95574287564277</v>
      </c>
      <c r="AE32" s="133">
        <f t="shared" si="69"/>
        <v>141.37166941154072</v>
      </c>
      <c r="AF32" s="133">
        <f t="shared" si="69"/>
        <v>172.78759594743863</v>
      </c>
      <c r="AG32" s="133">
        <f t="shared" si="69"/>
        <v>7.8539816339744837</v>
      </c>
      <c r="AH32" s="133">
        <f t="shared" si="69"/>
        <v>23.561944901923454</v>
      </c>
      <c r="AI32" s="133">
        <f t="shared" si="69"/>
        <v>47.123889803846907</v>
      </c>
      <c r="AJ32" s="133">
        <f t="shared" si="69"/>
        <v>78.539816339744846</v>
      </c>
      <c r="AK32" s="133">
        <f t="shared" si="69"/>
        <v>109.95574287564277</v>
      </c>
      <c r="AL32" s="133">
        <f t="shared" si="69"/>
        <v>141.37166941154072</v>
      </c>
      <c r="AM32" s="133">
        <f t="shared" si="69"/>
        <v>172.78759594743863</v>
      </c>
      <c r="AN32" s="133">
        <f t="shared" si="69"/>
        <v>7.8539816339744837</v>
      </c>
      <c r="AO32" s="133">
        <f t="shared" si="69"/>
        <v>23.561944901923454</v>
      </c>
      <c r="AP32" s="133">
        <f t="shared" si="69"/>
        <v>47.123889803846907</v>
      </c>
      <c r="AQ32" s="133">
        <f t="shared" si="69"/>
        <v>78.539816339744846</v>
      </c>
      <c r="AR32" s="133">
        <f t="shared" si="69"/>
        <v>109.95574287564277</v>
      </c>
      <c r="AS32" s="133">
        <f t="shared" si="69"/>
        <v>141.37166941154072</v>
      </c>
      <c r="AT32" s="133">
        <f t="shared" si="69"/>
        <v>172.78759594743863</v>
      </c>
    </row>
    <row r="33" spans="2:46">
      <c r="B33" s="1" t="s">
        <v>122</v>
      </c>
      <c r="C33" s="123" t="s">
        <v>28</v>
      </c>
      <c r="D33" s="123"/>
      <c r="E33" s="134">
        <v>4</v>
      </c>
      <c r="F33" s="134">
        <f t="shared" ref="F33:AM33" si="70">E33</f>
        <v>4</v>
      </c>
      <c r="G33" s="134">
        <f t="shared" si="70"/>
        <v>4</v>
      </c>
      <c r="H33" s="134">
        <f t="shared" si="70"/>
        <v>4</v>
      </c>
      <c r="I33" s="134">
        <f t="shared" si="70"/>
        <v>4</v>
      </c>
      <c r="J33" s="134">
        <f t="shared" si="70"/>
        <v>4</v>
      </c>
      <c r="K33" s="134">
        <f t="shared" si="70"/>
        <v>4</v>
      </c>
      <c r="L33" s="134">
        <f t="shared" si="70"/>
        <v>4</v>
      </c>
      <c r="M33" s="134">
        <f t="shared" si="70"/>
        <v>4</v>
      </c>
      <c r="N33" s="134">
        <f t="shared" si="70"/>
        <v>4</v>
      </c>
      <c r="O33" s="134">
        <f t="shared" si="70"/>
        <v>4</v>
      </c>
      <c r="P33" s="134">
        <f t="shared" si="70"/>
        <v>4</v>
      </c>
      <c r="Q33" s="134">
        <f t="shared" si="70"/>
        <v>4</v>
      </c>
      <c r="R33" s="134">
        <f t="shared" si="70"/>
        <v>4</v>
      </c>
      <c r="S33" s="134">
        <f t="shared" si="70"/>
        <v>4</v>
      </c>
      <c r="T33" s="134">
        <f t="shared" si="70"/>
        <v>4</v>
      </c>
      <c r="U33" s="134">
        <f t="shared" si="70"/>
        <v>4</v>
      </c>
      <c r="V33" s="134">
        <f t="shared" si="70"/>
        <v>4</v>
      </c>
      <c r="W33" s="134">
        <f t="shared" si="70"/>
        <v>4</v>
      </c>
      <c r="X33" s="134">
        <f t="shared" si="70"/>
        <v>4</v>
      </c>
      <c r="Y33" s="134">
        <f t="shared" si="70"/>
        <v>4</v>
      </c>
      <c r="Z33" s="134">
        <f t="shared" si="70"/>
        <v>4</v>
      </c>
      <c r="AA33" s="134">
        <f t="shared" si="70"/>
        <v>4</v>
      </c>
      <c r="AB33" s="134">
        <f t="shared" si="70"/>
        <v>4</v>
      </c>
      <c r="AC33" s="134">
        <f t="shared" si="70"/>
        <v>4</v>
      </c>
      <c r="AD33" s="134">
        <f t="shared" si="70"/>
        <v>4</v>
      </c>
      <c r="AE33" s="134">
        <f t="shared" si="70"/>
        <v>4</v>
      </c>
      <c r="AF33" s="134">
        <f t="shared" si="70"/>
        <v>4</v>
      </c>
      <c r="AG33" s="134">
        <f t="shared" si="70"/>
        <v>4</v>
      </c>
      <c r="AH33" s="134">
        <f t="shared" si="70"/>
        <v>4</v>
      </c>
      <c r="AI33" s="134">
        <f t="shared" si="70"/>
        <v>4</v>
      </c>
      <c r="AJ33" s="134">
        <f t="shared" si="70"/>
        <v>4</v>
      </c>
      <c r="AK33" s="134">
        <f t="shared" si="70"/>
        <v>4</v>
      </c>
      <c r="AL33" s="134">
        <f t="shared" si="70"/>
        <v>4</v>
      </c>
      <c r="AM33" s="134">
        <f t="shared" si="70"/>
        <v>4</v>
      </c>
      <c r="AN33" s="134">
        <f t="shared" ref="AN33" si="71">AM33</f>
        <v>4</v>
      </c>
      <c r="AO33" s="134">
        <f t="shared" ref="AO33" si="72">AN33</f>
        <v>4</v>
      </c>
      <c r="AP33" s="134">
        <f t="shared" ref="AP33" si="73">AO33</f>
        <v>4</v>
      </c>
      <c r="AQ33" s="134">
        <f t="shared" ref="AQ33" si="74">AP33</f>
        <v>4</v>
      </c>
      <c r="AR33" s="134">
        <f t="shared" ref="AR33" si="75">AQ33</f>
        <v>4</v>
      </c>
      <c r="AS33" s="134">
        <f t="shared" ref="AS33" si="76">AR33</f>
        <v>4</v>
      </c>
      <c r="AT33" s="134">
        <f t="shared" ref="AT33" si="77">AS33</f>
        <v>4</v>
      </c>
    </row>
    <row r="34" spans="2:46">
      <c r="B34" s="1" t="s">
        <v>123</v>
      </c>
      <c r="C34" s="123" t="s">
        <v>124</v>
      </c>
      <c r="E34" s="135">
        <f t="shared" ref="E34:AT34" si="78">E33*E32</f>
        <v>31.415926535897935</v>
      </c>
      <c r="F34" s="135">
        <f t="shared" si="78"/>
        <v>94.247779607693815</v>
      </c>
      <c r="G34" s="135">
        <f t="shared" si="78"/>
        <v>188.49555921538763</v>
      </c>
      <c r="H34" s="135">
        <f t="shared" si="78"/>
        <v>314.15926535897938</v>
      </c>
      <c r="I34" s="135">
        <f t="shared" si="78"/>
        <v>439.82297150257108</v>
      </c>
      <c r="J34" s="135">
        <f t="shared" si="78"/>
        <v>565.48667764616289</v>
      </c>
      <c r="K34" s="135">
        <f t="shared" si="78"/>
        <v>691.15038378975453</v>
      </c>
      <c r="L34" s="135">
        <f t="shared" si="78"/>
        <v>31.415926535897935</v>
      </c>
      <c r="M34" s="135">
        <f t="shared" si="78"/>
        <v>94.247779607693815</v>
      </c>
      <c r="N34" s="135">
        <f t="shared" si="78"/>
        <v>188.49555921538763</v>
      </c>
      <c r="O34" s="135">
        <f t="shared" si="78"/>
        <v>314.15926535897938</v>
      </c>
      <c r="P34" s="135">
        <f t="shared" si="78"/>
        <v>439.82297150257108</v>
      </c>
      <c r="Q34" s="135">
        <f t="shared" si="78"/>
        <v>565.48667764616289</v>
      </c>
      <c r="R34" s="135">
        <f t="shared" si="78"/>
        <v>691.15038378975453</v>
      </c>
      <c r="S34" s="135">
        <f t="shared" si="78"/>
        <v>31.415926535897935</v>
      </c>
      <c r="T34" s="135">
        <f t="shared" si="78"/>
        <v>94.247779607693815</v>
      </c>
      <c r="U34" s="135">
        <f t="shared" si="78"/>
        <v>188.49555921538763</v>
      </c>
      <c r="V34" s="135">
        <f t="shared" si="78"/>
        <v>314.15926535897938</v>
      </c>
      <c r="W34" s="135">
        <f t="shared" si="78"/>
        <v>439.82297150257108</v>
      </c>
      <c r="X34" s="135">
        <f t="shared" si="78"/>
        <v>565.48667764616289</v>
      </c>
      <c r="Y34" s="135">
        <f t="shared" si="78"/>
        <v>691.15038378975453</v>
      </c>
      <c r="Z34" s="135">
        <f t="shared" si="78"/>
        <v>31.415926535897935</v>
      </c>
      <c r="AA34" s="135">
        <f t="shared" si="78"/>
        <v>94.247779607693815</v>
      </c>
      <c r="AB34" s="135">
        <f t="shared" si="78"/>
        <v>188.49555921538763</v>
      </c>
      <c r="AC34" s="135">
        <f t="shared" si="78"/>
        <v>314.15926535897938</v>
      </c>
      <c r="AD34" s="135">
        <f t="shared" si="78"/>
        <v>439.82297150257108</v>
      </c>
      <c r="AE34" s="135">
        <f t="shared" si="78"/>
        <v>565.48667764616289</v>
      </c>
      <c r="AF34" s="135">
        <f t="shared" si="78"/>
        <v>691.15038378975453</v>
      </c>
      <c r="AG34" s="135">
        <f t="shared" si="78"/>
        <v>31.415926535897935</v>
      </c>
      <c r="AH34" s="135">
        <f t="shared" si="78"/>
        <v>94.247779607693815</v>
      </c>
      <c r="AI34" s="135">
        <f t="shared" si="78"/>
        <v>188.49555921538763</v>
      </c>
      <c r="AJ34" s="135">
        <f t="shared" si="78"/>
        <v>314.15926535897938</v>
      </c>
      <c r="AK34" s="135">
        <f t="shared" si="78"/>
        <v>439.82297150257108</v>
      </c>
      <c r="AL34" s="135">
        <f t="shared" si="78"/>
        <v>565.48667764616289</v>
      </c>
      <c r="AM34" s="135">
        <f t="shared" si="78"/>
        <v>691.15038378975453</v>
      </c>
      <c r="AN34" s="135">
        <f t="shared" si="78"/>
        <v>31.415926535897935</v>
      </c>
      <c r="AO34" s="135">
        <f t="shared" si="78"/>
        <v>94.247779607693815</v>
      </c>
      <c r="AP34" s="135">
        <f t="shared" si="78"/>
        <v>188.49555921538763</v>
      </c>
      <c r="AQ34" s="135">
        <f t="shared" si="78"/>
        <v>314.15926535897938</v>
      </c>
      <c r="AR34" s="135">
        <f t="shared" si="78"/>
        <v>439.82297150257108</v>
      </c>
      <c r="AS34" s="135">
        <f t="shared" si="78"/>
        <v>565.48667764616289</v>
      </c>
      <c r="AT34" s="135">
        <f t="shared" si="78"/>
        <v>691.15038378975453</v>
      </c>
    </row>
    <row r="35" spans="2:46">
      <c r="B35" s="1" t="s">
        <v>125</v>
      </c>
      <c r="C35" s="123" t="s">
        <v>126</v>
      </c>
      <c r="D35" s="123"/>
      <c r="E35" s="136">
        <f t="shared" ref="E35:AT35" si="79">ROUNDUP(E34/(Tanker_capacity),0)</f>
        <v>2</v>
      </c>
      <c r="F35" s="136">
        <f t="shared" si="79"/>
        <v>6</v>
      </c>
      <c r="G35" s="136">
        <f t="shared" si="79"/>
        <v>11</v>
      </c>
      <c r="H35" s="136">
        <f t="shared" si="79"/>
        <v>18</v>
      </c>
      <c r="I35" s="136">
        <f t="shared" si="79"/>
        <v>25</v>
      </c>
      <c r="J35" s="136">
        <f t="shared" si="79"/>
        <v>32</v>
      </c>
      <c r="K35" s="136">
        <f t="shared" si="79"/>
        <v>39</v>
      </c>
      <c r="L35" s="136">
        <f t="shared" si="79"/>
        <v>2</v>
      </c>
      <c r="M35" s="136">
        <f t="shared" si="79"/>
        <v>6</v>
      </c>
      <c r="N35" s="136">
        <f t="shared" si="79"/>
        <v>11</v>
      </c>
      <c r="O35" s="136">
        <f t="shared" si="79"/>
        <v>18</v>
      </c>
      <c r="P35" s="136">
        <f t="shared" si="79"/>
        <v>25</v>
      </c>
      <c r="Q35" s="136">
        <f t="shared" si="79"/>
        <v>32</v>
      </c>
      <c r="R35" s="136">
        <f t="shared" si="79"/>
        <v>39</v>
      </c>
      <c r="S35" s="136">
        <f t="shared" si="79"/>
        <v>2</v>
      </c>
      <c r="T35" s="136">
        <f t="shared" si="79"/>
        <v>6</v>
      </c>
      <c r="U35" s="136">
        <f t="shared" si="79"/>
        <v>11</v>
      </c>
      <c r="V35" s="136">
        <f t="shared" si="79"/>
        <v>18</v>
      </c>
      <c r="W35" s="136">
        <f t="shared" si="79"/>
        <v>25</v>
      </c>
      <c r="X35" s="136">
        <f t="shared" si="79"/>
        <v>32</v>
      </c>
      <c r="Y35" s="136">
        <f t="shared" si="79"/>
        <v>39</v>
      </c>
      <c r="Z35" s="136">
        <f t="shared" si="79"/>
        <v>2</v>
      </c>
      <c r="AA35" s="136">
        <f t="shared" si="79"/>
        <v>6</v>
      </c>
      <c r="AB35" s="136">
        <f t="shared" si="79"/>
        <v>11</v>
      </c>
      <c r="AC35" s="136">
        <f t="shared" si="79"/>
        <v>18</v>
      </c>
      <c r="AD35" s="136">
        <f t="shared" si="79"/>
        <v>25</v>
      </c>
      <c r="AE35" s="136">
        <f t="shared" si="79"/>
        <v>32</v>
      </c>
      <c r="AF35" s="136">
        <f t="shared" si="79"/>
        <v>39</v>
      </c>
      <c r="AG35" s="136">
        <f t="shared" si="79"/>
        <v>2</v>
      </c>
      <c r="AH35" s="136">
        <f t="shared" si="79"/>
        <v>6</v>
      </c>
      <c r="AI35" s="136">
        <f t="shared" si="79"/>
        <v>11</v>
      </c>
      <c r="AJ35" s="136">
        <f t="shared" si="79"/>
        <v>18</v>
      </c>
      <c r="AK35" s="136">
        <f t="shared" si="79"/>
        <v>25</v>
      </c>
      <c r="AL35" s="136">
        <f t="shared" si="79"/>
        <v>32</v>
      </c>
      <c r="AM35" s="136">
        <f t="shared" si="79"/>
        <v>39</v>
      </c>
      <c r="AN35" s="136">
        <f t="shared" si="79"/>
        <v>2</v>
      </c>
      <c r="AO35" s="136">
        <f t="shared" si="79"/>
        <v>6</v>
      </c>
      <c r="AP35" s="136">
        <f t="shared" si="79"/>
        <v>11</v>
      </c>
      <c r="AQ35" s="136">
        <f t="shared" si="79"/>
        <v>18</v>
      </c>
      <c r="AR35" s="136">
        <f t="shared" si="79"/>
        <v>25</v>
      </c>
      <c r="AS35" s="136">
        <f t="shared" si="79"/>
        <v>32</v>
      </c>
      <c r="AT35" s="136">
        <f t="shared" si="79"/>
        <v>39</v>
      </c>
    </row>
    <row r="36" spans="2:46">
      <c r="B36" s="1" t="s">
        <v>127</v>
      </c>
      <c r="C36" s="123" t="s">
        <v>128</v>
      </c>
      <c r="D36" s="123"/>
      <c r="E36" s="134">
        <f t="shared" ref="E36:AT36" si="80">E34/(Kill_fluid_pumping_rate*Minutes_in_hour)</f>
        <v>1.0471975511965979</v>
      </c>
      <c r="F36" s="134">
        <f t="shared" si="80"/>
        <v>3.141592653589794</v>
      </c>
      <c r="G36" s="134">
        <f t="shared" si="80"/>
        <v>6.283185307179588</v>
      </c>
      <c r="H36" s="134">
        <f t="shared" si="80"/>
        <v>10.471975511965979</v>
      </c>
      <c r="I36" s="134">
        <f t="shared" si="80"/>
        <v>14.660765716752369</v>
      </c>
      <c r="J36" s="134">
        <f t="shared" si="80"/>
        <v>18.849555921538762</v>
      </c>
      <c r="K36" s="134">
        <f t="shared" si="80"/>
        <v>23.038346126325152</v>
      </c>
      <c r="L36" s="134">
        <f t="shared" si="80"/>
        <v>1.0471975511965979</v>
      </c>
      <c r="M36" s="134">
        <f t="shared" si="80"/>
        <v>3.141592653589794</v>
      </c>
      <c r="N36" s="134">
        <f t="shared" si="80"/>
        <v>6.283185307179588</v>
      </c>
      <c r="O36" s="134">
        <f t="shared" si="80"/>
        <v>10.471975511965979</v>
      </c>
      <c r="P36" s="134">
        <f t="shared" si="80"/>
        <v>14.660765716752369</v>
      </c>
      <c r="Q36" s="134">
        <f t="shared" si="80"/>
        <v>18.849555921538762</v>
      </c>
      <c r="R36" s="134">
        <f t="shared" si="80"/>
        <v>23.038346126325152</v>
      </c>
      <c r="S36" s="134">
        <f t="shared" si="80"/>
        <v>1.0471975511965979</v>
      </c>
      <c r="T36" s="134">
        <f t="shared" si="80"/>
        <v>3.141592653589794</v>
      </c>
      <c r="U36" s="134">
        <f t="shared" si="80"/>
        <v>6.283185307179588</v>
      </c>
      <c r="V36" s="134">
        <f t="shared" si="80"/>
        <v>10.471975511965979</v>
      </c>
      <c r="W36" s="134">
        <f t="shared" si="80"/>
        <v>14.660765716752369</v>
      </c>
      <c r="X36" s="134">
        <f t="shared" si="80"/>
        <v>18.849555921538762</v>
      </c>
      <c r="Y36" s="134">
        <f t="shared" si="80"/>
        <v>23.038346126325152</v>
      </c>
      <c r="Z36" s="134">
        <f t="shared" si="80"/>
        <v>1.0471975511965979</v>
      </c>
      <c r="AA36" s="134">
        <f t="shared" si="80"/>
        <v>3.141592653589794</v>
      </c>
      <c r="AB36" s="134">
        <f t="shared" si="80"/>
        <v>6.283185307179588</v>
      </c>
      <c r="AC36" s="134">
        <f t="shared" si="80"/>
        <v>10.471975511965979</v>
      </c>
      <c r="AD36" s="134">
        <f t="shared" si="80"/>
        <v>14.660765716752369</v>
      </c>
      <c r="AE36" s="134">
        <f t="shared" si="80"/>
        <v>18.849555921538762</v>
      </c>
      <c r="AF36" s="134">
        <f t="shared" si="80"/>
        <v>23.038346126325152</v>
      </c>
      <c r="AG36" s="134">
        <f t="shared" si="80"/>
        <v>1.0471975511965979</v>
      </c>
      <c r="AH36" s="134">
        <f t="shared" si="80"/>
        <v>3.141592653589794</v>
      </c>
      <c r="AI36" s="134">
        <f t="shared" si="80"/>
        <v>6.283185307179588</v>
      </c>
      <c r="AJ36" s="134">
        <f t="shared" si="80"/>
        <v>10.471975511965979</v>
      </c>
      <c r="AK36" s="134">
        <f t="shared" si="80"/>
        <v>14.660765716752369</v>
      </c>
      <c r="AL36" s="134">
        <f t="shared" si="80"/>
        <v>18.849555921538762</v>
      </c>
      <c r="AM36" s="134">
        <f t="shared" si="80"/>
        <v>23.038346126325152</v>
      </c>
      <c r="AN36" s="134">
        <f t="shared" si="80"/>
        <v>1.0471975511965979</v>
      </c>
      <c r="AO36" s="134">
        <f t="shared" si="80"/>
        <v>3.141592653589794</v>
      </c>
      <c r="AP36" s="134">
        <f t="shared" si="80"/>
        <v>6.283185307179588</v>
      </c>
      <c r="AQ36" s="134">
        <f t="shared" si="80"/>
        <v>10.471975511965979</v>
      </c>
      <c r="AR36" s="134">
        <f t="shared" si="80"/>
        <v>14.660765716752369</v>
      </c>
      <c r="AS36" s="134">
        <f t="shared" si="80"/>
        <v>18.849555921538762</v>
      </c>
      <c r="AT36" s="134">
        <f t="shared" si="80"/>
        <v>23.038346126325152</v>
      </c>
    </row>
    <row r="37" spans="2:46">
      <c r="B37" s="1" t="s">
        <v>129</v>
      </c>
      <c r="C37" s="123" t="s">
        <v>128</v>
      </c>
      <c r="E37" s="137">
        <f t="shared" ref="E37:AM37" si="81">E36/Hours_per_day</f>
        <v>0.10471975511965978</v>
      </c>
      <c r="F37" s="137">
        <f t="shared" si="81"/>
        <v>0.31415926535897942</v>
      </c>
      <c r="G37" s="137">
        <f t="shared" si="81"/>
        <v>0.62831853071795885</v>
      </c>
      <c r="H37" s="137">
        <f t="shared" si="81"/>
        <v>1.0471975511965979</v>
      </c>
      <c r="I37" s="137">
        <f t="shared" si="81"/>
        <v>1.4660765716752369</v>
      </c>
      <c r="J37" s="137">
        <f t="shared" si="81"/>
        <v>1.8849555921538763</v>
      </c>
      <c r="K37" s="137">
        <f t="shared" si="81"/>
        <v>2.3038346126325151</v>
      </c>
      <c r="L37" s="137">
        <f t="shared" si="81"/>
        <v>0.10471975511965978</v>
      </c>
      <c r="M37" s="137">
        <f t="shared" si="81"/>
        <v>0.31415926535897942</v>
      </c>
      <c r="N37" s="137">
        <f t="shared" si="81"/>
        <v>0.62831853071795885</v>
      </c>
      <c r="O37" s="137">
        <f t="shared" si="81"/>
        <v>1.0471975511965979</v>
      </c>
      <c r="P37" s="137">
        <f t="shared" si="81"/>
        <v>1.4660765716752369</v>
      </c>
      <c r="Q37" s="137">
        <f t="shared" si="81"/>
        <v>1.8849555921538763</v>
      </c>
      <c r="R37" s="137">
        <f t="shared" si="81"/>
        <v>2.3038346126325151</v>
      </c>
      <c r="S37" s="137">
        <f t="shared" si="81"/>
        <v>0.10471975511965978</v>
      </c>
      <c r="T37" s="137">
        <f t="shared" si="81"/>
        <v>0.31415926535897942</v>
      </c>
      <c r="U37" s="137">
        <f t="shared" si="81"/>
        <v>0.62831853071795885</v>
      </c>
      <c r="V37" s="137">
        <f t="shared" si="81"/>
        <v>1.0471975511965979</v>
      </c>
      <c r="W37" s="137">
        <f t="shared" si="81"/>
        <v>1.4660765716752369</v>
      </c>
      <c r="X37" s="137">
        <f t="shared" si="81"/>
        <v>1.8849555921538763</v>
      </c>
      <c r="Y37" s="137">
        <f t="shared" si="81"/>
        <v>2.3038346126325151</v>
      </c>
      <c r="Z37" s="137">
        <f t="shared" si="81"/>
        <v>0.10471975511965978</v>
      </c>
      <c r="AA37" s="137">
        <f t="shared" si="81"/>
        <v>0.31415926535897942</v>
      </c>
      <c r="AB37" s="137">
        <f t="shared" si="81"/>
        <v>0.62831853071795885</v>
      </c>
      <c r="AC37" s="137">
        <f t="shared" si="81"/>
        <v>1.0471975511965979</v>
      </c>
      <c r="AD37" s="137">
        <f t="shared" si="81"/>
        <v>1.4660765716752369</v>
      </c>
      <c r="AE37" s="137">
        <f t="shared" si="81"/>
        <v>1.8849555921538763</v>
      </c>
      <c r="AF37" s="137">
        <f t="shared" si="81"/>
        <v>2.3038346126325151</v>
      </c>
      <c r="AG37" s="137">
        <f t="shared" si="81"/>
        <v>0.10471975511965978</v>
      </c>
      <c r="AH37" s="137">
        <f t="shared" si="81"/>
        <v>0.31415926535897942</v>
      </c>
      <c r="AI37" s="137">
        <f t="shared" si="81"/>
        <v>0.62831853071795885</v>
      </c>
      <c r="AJ37" s="137">
        <f t="shared" si="81"/>
        <v>1.0471975511965979</v>
      </c>
      <c r="AK37" s="137">
        <f t="shared" si="81"/>
        <v>1.4660765716752369</v>
      </c>
      <c r="AL37" s="137">
        <f t="shared" si="81"/>
        <v>1.8849555921538763</v>
      </c>
      <c r="AM37" s="137">
        <f t="shared" si="81"/>
        <v>2.3038346126325151</v>
      </c>
      <c r="AN37" s="137">
        <f t="shared" ref="AN37" si="82">AN36/Hours_per_day</f>
        <v>0.10471975511965978</v>
      </c>
      <c r="AO37" s="137">
        <f t="shared" ref="AO37" si="83">AO36/Hours_per_day</f>
        <v>0.31415926535897942</v>
      </c>
      <c r="AP37" s="137">
        <f t="shared" ref="AP37" si="84">AP36/Hours_per_day</f>
        <v>0.62831853071795885</v>
      </c>
      <c r="AQ37" s="137">
        <f t="shared" ref="AQ37" si="85">AQ36/Hours_per_day</f>
        <v>1.0471975511965979</v>
      </c>
      <c r="AR37" s="137">
        <f t="shared" ref="AR37" si="86">AR36/Hours_per_day</f>
        <v>1.4660765716752369</v>
      </c>
      <c r="AS37" s="137">
        <f t="shared" ref="AS37" si="87">AS36/Hours_per_day</f>
        <v>1.8849555921538763</v>
      </c>
      <c r="AT37" s="137">
        <f t="shared" ref="AT37" si="88">AT36/Hours_per_day</f>
        <v>2.3038346126325151</v>
      </c>
    </row>
    <row r="38" spans="2:46" ht="15" thickBot="1">
      <c r="B38" s="1" t="s">
        <v>719</v>
      </c>
      <c r="C38" s="123" t="s">
        <v>124</v>
      </c>
      <c r="D38" s="138">
        <v>300</v>
      </c>
      <c r="E38" s="139">
        <f t="shared" ref="E38:AM38" si="89">$D38*E34</f>
        <v>9424.777960769381</v>
      </c>
      <c r="F38" s="139">
        <f t="shared" si="89"/>
        <v>28274.333882308143</v>
      </c>
      <c r="G38" s="139">
        <f t="shared" si="89"/>
        <v>56548.667764616286</v>
      </c>
      <c r="H38" s="139">
        <f t="shared" si="89"/>
        <v>94247.77960769381</v>
      </c>
      <c r="I38" s="139">
        <f t="shared" si="89"/>
        <v>131946.89145077133</v>
      </c>
      <c r="J38" s="139">
        <f t="shared" si="89"/>
        <v>169646.00329384886</v>
      </c>
      <c r="K38" s="139">
        <f t="shared" si="89"/>
        <v>207345.11513692635</v>
      </c>
      <c r="L38" s="139">
        <f t="shared" si="89"/>
        <v>9424.777960769381</v>
      </c>
      <c r="M38" s="139">
        <f t="shared" si="89"/>
        <v>28274.333882308143</v>
      </c>
      <c r="N38" s="139">
        <f t="shared" si="89"/>
        <v>56548.667764616286</v>
      </c>
      <c r="O38" s="139">
        <f t="shared" si="89"/>
        <v>94247.77960769381</v>
      </c>
      <c r="P38" s="139">
        <f t="shared" si="89"/>
        <v>131946.89145077133</v>
      </c>
      <c r="Q38" s="139">
        <f t="shared" si="89"/>
        <v>169646.00329384886</v>
      </c>
      <c r="R38" s="139">
        <f t="shared" si="89"/>
        <v>207345.11513692635</v>
      </c>
      <c r="S38" s="139">
        <f t="shared" si="89"/>
        <v>9424.777960769381</v>
      </c>
      <c r="T38" s="139">
        <f t="shared" si="89"/>
        <v>28274.333882308143</v>
      </c>
      <c r="U38" s="139">
        <f t="shared" si="89"/>
        <v>56548.667764616286</v>
      </c>
      <c r="V38" s="139">
        <f t="shared" si="89"/>
        <v>94247.77960769381</v>
      </c>
      <c r="W38" s="139">
        <f t="shared" si="89"/>
        <v>131946.89145077133</v>
      </c>
      <c r="X38" s="139">
        <f t="shared" si="89"/>
        <v>169646.00329384886</v>
      </c>
      <c r="Y38" s="139">
        <f t="shared" si="89"/>
        <v>207345.11513692635</v>
      </c>
      <c r="Z38" s="139">
        <f t="shared" si="89"/>
        <v>9424.777960769381</v>
      </c>
      <c r="AA38" s="139">
        <f t="shared" si="89"/>
        <v>28274.333882308143</v>
      </c>
      <c r="AB38" s="139">
        <f t="shared" si="89"/>
        <v>56548.667764616286</v>
      </c>
      <c r="AC38" s="139">
        <f t="shared" si="89"/>
        <v>94247.77960769381</v>
      </c>
      <c r="AD38" s="139">
        <f t="shared" si="89"/>
        <v>131946.89145077133</v>
      </c>
      <c r="AE38" s="139">
        <f t="shared" si="89"/>
        <v>169646.00329384886</v>
      </c>
      <c r="AF38" s="139">
        <f t="shared" si="89"/>
        <v>207345.11513692635</v>
      </c>
      <c r="AG38" s="139">
        <f t="shared" si="89"/>
        <v>9424.777960769381</v>
      </c>
      <c r="AH38" s="139">
        <f t="shared" si="89"/>
        <v>28274.333882308143</v>
      </c>
      <c r="AI38" s="139">
        <f t="shared" si="89"/>
        <v>56548.667764616286</v>
      </c>
      <c r="AJ38" s="139">
        <f t="shared" si="89"/>
        <v>94247.77960769381</v>
      </c>
      <c r="AK38" s="139">
        <f t="shared" si="89"/>
        <v>131946.89145077133</v>
      </c>
      <c r="AL38" s="139">
        <f t="shared" si="89"/>
        <v>169646.00329384886</v>
      </c>
      <c r="AM38" s="139">
        <f t="shared" si="89"/>
        <v>207345.11513692635</v>
      </c>
      <c r="AN38" s="139">
        <f t="shared" ref="AN38:AT38" si="90">$D38*AN34</f>
        <v>9424.777960769381</v>
      </c>
      <c r="AO38" s="139">
        <f t="shared" si="90"/>
        <v>28274.333882308143</v>
      </c>
      <c r="AP38" s="139">
        <f t="shared" si="90"/>
        <v>56548.667764616286</v>
      </c>
      <c r="AQ38" s="139">
        <f t="shared" si="90"/>
        <v>94247.77960769381</v>
      </c>
      <c r="AR38" s="139">
        <f t="shared" si="90"/>
        <v>131946.89145077133</v>
      </c>
      <c r="AS38" s="139">
        <f t="shared" si="90"/>
        <v>169646.00329384886</v>
      </c>
      <c r="AT38" s="139">
        <f t="shared" si="90"/>
        <v>207345.11513692635</v>
      </c>
    </row>
    <row r="39" spans="2:46" ht="15.5" thickTop="1" thickBot="1">
      <c r="B39" s="1" t="s">
        <v>130</v>
      </c>
      <c r="C39" s="123" t="s">
        <v>134</v>
      </c>
      <c r="D39" s="138">
        <v>5346.0877996762456</v>
      </c>
      <c r="E39" s="139">
        <f t="shared" ref="E39:AM39" si="91">$D39*E37</f>
        <v>559.84100523029724</v>
      </c>
      <c r="F39" s="139">
        <f t="shared" si="91"/>
        <v>1679.523015690892</v>
      </c>
      <c r="G39" s="139">
        <f t="shared" si="91"/>
        <v>3359.0460313817839</v>
      </c>
      <c r="H39" s="139">
        <f t="shared" si="91"/>
        <v>5598.410052302972</v>
      </c>
      <c r="I39" s="139">
        <f t="shared" si="91"/>
        <v>7837.7740732241609</v>
      </c>
      <c r="J39" s="139">
        <f t="shared" si="91"/>
        <v>10077.138094145352</v>
      </c>
      <c r="K39" s="139">
        <f t="shared" si="91"/>
        <v>12316.502115066538</v>
      </c>
      <c r="L39" s="139">
        <f t="shared" si="91"/>
        <v>559.84100523029724</v>
      </c>
      <c r="M39" s="139">
        <f t="shared" si="91"/>
        <v>1679.523015690892</v>
      </c>
      <c r="N39" s="139">
        <f t="shared" si="91"/>
        <v>3359.0460313817839</v>
      </c>
      <c r="O39" s="139">
        <f t="shared" si="91"/>
        <v>5598.410052302972</v>
      </c>
      <c r="P39" s="139">
        <f t="shared" si="91"/>
        <v>7837.7740732241609</v>
      </c>
      <c r="Q39" s="139">
        <f t="shared" si="91"/>
        <v>10077.138094145352</v>
      </c>
      <c r="R39" s="139">
        <f t="shared" si="91"/>
        <v>12316.502115066538</v>
      </c>
      <c r="S39" s="139">
        <f t="shared" si="91"/>
        <v>559.84100523029724</v>
      </c>
      <c r="T39" s="139">
        <f t="shared" si="91"/>
        <v>1679.523015690892</v>
      </c>
      <c r="U39" s="139">
        <f t="shared" si="91"/>
        <v>3359.0460313817839</v>
      </c>
      <c r="V39" s="139">
        <f t="shared" si="91"/>
        <v>5598.410052302972</v>
      </c>
      <c r="W39" s="139">
        <f t="shared" si="91"/>
        <v>7837.7740732241609</v>
      </c>
      <c r="X39" s="139">
        <f t="shared" si="91"/>
        <v>10077.138094145352</v>
      </c>
      <c r="Y39" s="139">
        <f t="shared" si="91"/>
        <v>12316.502115066538</v>
      </c>
      <c r="Z39" s="139">
        <f t="shared" si="91"/>
        <v>559.84100523029724</v>
      </c>
      <c r="AA39" s="139">
        <f t="shared" si="91"/>
        <v>1679.523015690892</v>
      </c>
      <c r="AB39" s="139">
        <f t="shared" si="91"/>
        <v>3359.0460313817839</v>
      </c>
      <c r="AC39" s="139">
        <f t="shared" si="91"/>
        <v>5598.410052302972</v>
      </c>
      <c r="AD39" s="139">
        <f t="shared" si="91"/>
        <v>7837.7740732241609</v>
      </c>
      <c r="AE39" s="139">
        <f t="shared" si="91"/>
        <v>10077.138094145352</v>
      </c>
      <c r="AF39" s="139">
        <f t="shared" si="91"/>
        <v>12316.502115066538</v>
      </c>
      <c r="AG39" s="139">
        <f t="shared" si="91"/>
        <v>559.84100523029724</v>
      </c>
      <c r="AH39" s="139">
        <f t="shared" si="91"/>
        <v>1679.523015690892</v>
      </c>
      <c r="AI39" s="139">
        <f t="shared" si="91"/>
        <v>3359.0460313817839</v>
      </c>
      <c r="AJ39" s="139">
        <f t="shared" si="91"/>
        <v>5598.410052302972</v>
      </c>
      <c r="AK39" s="139">
        <f t="shared" si="91"/>
        <v>7837.7740732241609</v>
      </c>
      <c r="AL39" s="139">
        <f t="shared" si="91"/>
        <v>10077.138094145352</v>
      </c>
      <c r="AM39" s="139">
        <f t="shared" si="91"/>
        <v>12316.502115066538</v>
      </c>
      <c r="AN39" s="139">
        <f t="shared" ref="AN39:AT39" si="92">$D39*AN37</f>
        <v>559.84100523029724</v>
      </c>
      <c r="AO39" s="139">
        <f t="shared" si="92"/>
        <v>1679.523015690892</v>
      </c>
      <c r="AP39" s="139">
        <f t="shared" si="92"/>
        <v>3359.0460313817839</v>
      </c>
      <c r="AQ39" s="139">
        <f t="shared" si="92"/>
        <v>5598.410052302972</v>
      </c>
      <c r="AR39" s="139">
        <f t="shared" si="92"/>
        <v>7837.7740732241609</v>
      </c>
      <c r="AS39" s="139">
        <f t="shared" si="92"/>
        <v>10077.138094145352</v>
      </c>
      <c r="AT39" s="139">
        <f t="shared" si="92"/>
        <v>12316.502115066538</v>
      </c>
    </row>
    <row r="40" spans="2:46" ht="15.5" thickTop="1" thickBot="1">
      <c r="B40" s="1" t="s">
        <v>720</v>
      </c>
      <c r="C40" s="123" t="s">
        <v>134</v>
      </c>
      <c r="D40" s="138">
        <v>4765.937799676245</v>
      </c>
      <c r="E40" s="139">
        <f>$D40*E37</f>
        <v>499.08783929762654</v>
      </c>
      <c r="F40" s="139">
        <f t="shared" ref="F40:AM40" si="93">$D40*F37</f>
        <v>1497.2635178928799</v>
      </c>
      <c r="G40" s="139">
        <f t="shared" si="93"/>
        <v>2994.5270357857598</v>
      </c>
      <c r="H40" s="139">
        <f t="shared" si="93"/>
        <v>4990.8783929762658</v>
      </c>
      <c r="I40" s="139">
        <f t="shared" si="93"/>
        <v>6987.2297501667708</v>
      </c>
      <c r="J40" s="139">
        <f t="shared" si="93"/>
        <v>8983.5811073572786</v>
      </c>
      <c r="K40" s="139">
        <f t="shared" si="93"/>
        <v>10979.932464547783</v>
      </c>
      <c r="L40" s="139">
        <f t="shared" si="93"/>
        <v>499.08783929762654</v>
      </c>
      <c r="M40" s="139">
        <f t="shared" si="93"/>
        <v>1497.2635178928799</v>
      </c>
      <c r="N40" s="139">
        <f t="shared" si="93"/>
        <v>2994.5270357857598</v>
      </c>
      <c r="O40" s="139">
        <f t="shared" si="93"/>
        <v>4990.8783929762658</v>
      </c>
      <c r="P40" s="139">
        <f t="shared" si="93"/>
        <v>6987.2297501667708</v>
      </c>
      <c r="Q40" s="139">
        <f t="shared" si="93"/>
        <v>8983.5811073572786</v>
      </c>
      <c r="R40" s="139">
        <f t="shared" si="93"/>
        <v>10979.932464547783</v>
      </c>
      <c r="S40" s="139">
        <f t="shared" si="93"/>
        <v>499.08783929762654</v>
      </c>
      <c r="T40" s="139">
        <f t="shared" si="93"/>
        <v>1497.2635178928799</v>
      </c>
      <c r="U40" s="139">
        <f t="shared" si="93"/>
        <v>2994.5270357857598</v>
      </c>
      <c r="V40" s="139">
        <f t="shared" si="93"/>
        <v>4990.8783929762658</v>
      </c>
      <c r="W40" s="139">
        <f t="shared" si="93"/>
        <v>6987.2297501667708</v>
      </c>
      <c r="X40" s="139">
        <f t="shared" si="93"/>
        <v>8983.5811073572786</v>
      </c>
      <c r="Y40" s="139">
        <f t="shared" si="93"/>
        <v>10979.932464547783</v>
      </c>
      <c r="Z40" s="139">
        <f t="shared" si="93"/>
        <v>499.08783929762654</v>
      </c>
      <c r="AA40" s="139">
        <f t="shared" si="93"/>
        <v>1497.2635178928799</v>
      </c>
      <c r="AB40" s="139">
        <f t="shared" si="93"/>
        <v>2994.5270357857598</v>
      </c>
      <c r="AC40" s="139">
        <f t="shared" si="93"/>
        <v>4990.8783929762658</v>
      </c>
      <c r="AD40" s="139">
        <f t="shared" si="93"/>
        <v>6987.2297501667708</v>
      </c>
      <c r="AE40" s="139">
        <f t="shared" si="93"/>
        <v>8983.5811073572786</v>
      </c>
      <c r="AF40" s="139">
        <f t="shared" si="93"/>
        <v>10979.932464547783</v>
      </c>
      <c r="AG40" s="139">
        <f t="shared" si="93"/>
        <v>499.08783929762654</v>
      </c>
      <c r="AH40" s="139">
        <f t="shared" si="93"/>
        <v>1497.2635178928799</v>
      </c>
      <c r="AI40" s="139">
        <f t="shared" si="93"/>
        <v>2994.5270357857598</v>
      </c>
      <c r="AJ40" s="139">
        <f t="shared" si="93"/>
        <v>4990.8783929762658</v>
      </c>
      <c r="AK40" s="139">
        <f t="shared" si="93"/>
        <v>6987.2297501667708</v>
      </c>
      <c r="AL40" s="139">
        <f t="shared" si="93"/>
        <v>8983.5811073572786</v>
      </c>
      <c r="AM40" s="139">
        <f t="shared" si="93"/>
        <v>10979.932464547783</v>
      </c>
      <c r="AN40" s="139">
        <f t="shared" ref="AN40:AT40" si="94">$D40*AN37</f>
        <v>499.08783929762654</v>
      </c>
      <c r="AO40" s="139">
        <f t="shared" si="94"/>
        <v>1497.2635178928799</v>
      </c>
      <c r="AP40" s="139">
        <f t="shared" si="94"/>
        <v>2994.5270357857598</v>
      </c>
      <c r="AQ40" s="139">
        <f t="shared" si="94"/>
        <v>4990.8783929762658</v>
      </c>
      <c r="AR40" s="139">
        <f t="shared" si="94"/>
        <v>6987.2297501667708</v>
      </c>
      <c r="AS40" s="139">
        <f t="shared" si="94"/>
        <v>8983.5811073572786</v>
      </c>
      <c r="AT40" s="139">
        <f t="shared" si="94"/>
        <v>10979.932464547783</v>
      </c>
    </row>
    <row r="41" spans="2:46" ht="15.5" thickTop="1" thickBot="1">
      <c r="B41" s="1" t="s">
        <v>131</v>
      </c>
      <c r="C41" s="123" t="s">
        <v>586</v>
      </c>
      <c r="D41" s="138">
        <v>545.2121348490781</v>
      </c>
      <c r="E41" s="139">
        <f t="shared" ref="E41:AM41" si="95">$D41*E35</f>
        <v>1090.4242696981562</v>
      </c>
      <c r="F41" s="139">
        <f t="shared" si="95"/>
        <v>3271.2728090944684</v>
      </c>
      <c r="G41" s="139">
        <f t="shared" si="95"/>
        <v>5997.3334833398594</v>
      </c>
      <c r="H41" s="139">
        <f t="shared" si="95"/>
        <v>9813.818427283406</v>
      </c>
      <c r="I41" s="139">
        <f t="shared" si="95"/>
        <v>13630.303371226952</v>
      </c>
      <c r="J41" s="139">
        <f t="shared" si="95"/>
        <v>17446.788315170499</v>
      </c>
      <c r="K41" s="139">
        <f t="shared" si="95"/>
        <v>21263.273259114045</v>
      </c>
      <c r="L41" s="139">
        <f t="shared" si="95"/>
        <v>1090.4242696981562</v>
      </c>
      <c r="M41" s="139">
        <f t="shared" si="95"/>
        <v>3271.2728090944684</v>
      </c>
      <c r="N41" s="139">
        <f t="shared" si="95"/>
        <v>5997.3334833398594</v>
      </c>
      <c r="O41" s="139">
        <f t="shared" si="95"/>
        <v>9813.818427283406</v>
      </c>
      <c r="P41" s="139">
        <f t="shared" si="95"/>
        <v>13630.303371226952</v>
      </c>
      <c r="Q41" s="139">
        <f t="shared" si="95"/>
        <v>17446.788315170499</v>
      </c>
      <c r="R41" s="139">
        <f t="shared" si="95"/>
        <v>21263.273259114045</v>
      </c>
      <c r="S41" s="139">
        <f t="shared" si="95"/>
        <v>1090.4242696981562</v>
      </c>
      <c r="T41" s="139">
        <f t="shared" si="95"/>
        <v>3271.2728090944684</v>
      </c>
      <c r="U41" s="139">
        <f t="shared" si="95"/>
        <v>5997.3334833398594</v>
      </c>
      <c r="V41" s="139">
        <f t="shared" si="95"/>
        <v>9813.818427283406</v>
      </c>
      <c r="W41" s="139">
        <f t="shared" si="95"/>
        <v>13630.303371226952</v>
      </c>
      <c r="X41" s="139">
        <f t="shared" si="95"/>
        <v>17446.788315170499</v>
      </c>
      <c r="Y41" s="139">
        <f t="shared" si="95"/>
        <v>21263.273259114045</v>
      </c>
      <c r="Z41" s="139">
        <f t="shared" si="95"/>
        <v>1090.4242696981562</v>
      </c>
      <c r="AA41" s="139">
        <f t="shared" si="95"/>
        <v>3271.2728090944684</v>
      </c>
      <c r="AB41" s="139">
        <f t="shared" si="95"/>
        <v>5997.3334833398594</v>
      </c>
      <c r="AC41" s="139">
        <f t="shared" si="95"/>
        <v>9813.818427283406</v>
      </c>
      <c r="AD41" s="139">
        <f t="shared" si="95"/>
        <v>13630.303371226952</v>
      </c>
      <c r="AE41" s="139">
        <f t="shared" si="95"/>
        <v>17446.788315170499</v>
      </c>
      <c r="AF41" s="139">
        <f t="shared" si="95"/>
        <v>21263.273259114045</v>
      </c>
      <c r="AG41" s="139">
        <f t="shared" si="95"/>
        <v>1090.4242696981562</v>
      </c>
      <c r="AH41" s="139">
        <f t="shared" si="95"/>
        <v>3271.2728090944684</v>
      </c>
      <c r="AI41" s="139">
        <f t="shared" si="95"/>
        <v>5997.3334833398594</v>
      </c>
      <c r="AJ41" s="139">
        <f t="shared" si="95"/>
        <v>9813.818427283406</v>
      </c>
      <c r="AK41" s="139">
        <f t="shared" si="95"/>
        <v>13630.303371226952</v>
      </c>
      <c r="AL41" s="139">
        <f t="shared" si="95"/>
        <v>17446.788315170499</v>
      </c>
      <c r="AM41" s="139">
        <f t="shared" si="95"/>
        <v>21263.273259114045</v>
      </c>
      <c r="AN41" s="139">
        <f t="shared" ref="AN41:AT41" si="96">$D41*AN35</f>
        <v>1090.4242696981562</v>
      </c>
      <c r="AO41" s="139">
        <f t="shared" si="96"/>
        <v>3271.2728090944684</v>
      </c>
      <c r="AP41" s="139">
        <f t="shared" si="96"/>
        <v>5997.3334833398594</v>
      </c>
      <c r="AQ41" s="139">
        <f t="shared" si="96"/>
        <v>9813.818427283406</v>
      </c>
      <c r="AR41" s="139">
        <f t="shared" si="96"/>
        <v>13630.303371226952</v>
      </c>
      <c r="AS41" s="139">
        <f t="shared" si="96"/>
        <v>17446.788315170499</v>
      </c>
      <c r="AT41" s="139">
        <f t="shared" si="96"/>
        <v>21263.273259114045</v>
      </c>
    </row>
    <row r="42" spans="2:46" ht="15" thickTop="1">
      <c r="B42" s="140" t="s">
        <v>45</v>
      </c>
      <c r="C42" s="123" t="s">
        <v>76</v>
      </c>
      <c r="D42" s="123"/>
      <c r="E42" s="124">
        <f t="shared" ref="E42:AM42" si="97">SUM(E38:E41)</f>
        <v>11574.131074995461</v>
      </c>
      <c r="F42" s="124">
        <f t="shared" si="97"/>
        <v>34722.393224986379</v>
      </c>
      <c r="G42" s="124">
        <f t="shared" si="97"/>
        <v>68899.574315123682</v>
      </c>
      <c r="H42" s="124">
        <f t="shared" si="97"/>
        <v>114650.88648025646</v>
      </c>
      <c r="I42" s="124">
        <f t="shared" si="97"/>
        <v>160402.1986453892</v>
      </c>
      <c r="J42" s="124">
        <f t="shared" si="97"/>
        <v>206153.51081052198</v>
      </c>
      <c r="K42" s="124">
        <f t="shared" si="97"/>
        <v>251904.82297565471</v>
      </c>
      <c r="L42" s="124">
        <f t="shared" si="97"/>
        <v>11574.131074995461</v>
      </c>
      <c r="M42" s="124">
        <f t="shared" si="97"/>
        <v>34722.393224986379</v>
      </c>
      <c r="N42" s="124">
        <f t="shared" si="97"/>
        <v>68899.574315123682</v>
      </c>
      <c r="O42" s="124">
        <f t="shared" si="97"/>
        <v>114650.88648025646</v>
      </c>
      <c r="P42" s="124">
        <f t="shared" si="97"/>
        <v>160402.1986453892</v>
      </c>
      <c r="Q42" s="124">
        <f t="shared" si="97"/>
        <v>206153.51081052198</v>
      </c>
      <c r="R42" s="124">
        <f t="shared" si="97"/>
        <v>251904.82297565471</v>
      </c>
      <c r="S42" s="124">
        <f t="shared" si="97"/>
        <v>11574.131074995461</v>
      </c>
      <c r="T42" s="124">
        <f t="shared" si="97"/>
        <v>34722.393224986379</v>
      </c>
      <c r="U42" s="124">
        <f t="shared" si="97"/>
        <v>68899.574315123682</v>
      </c>
      <c r="V42" s="124">
        <f t="shared" si="97"/>
        <v>114650.88648025646</v>
      </c>
      <c r="W42" s="124">
        <f t="shared" si="97"/>
        <v>160402.1986453892</v>
      </c>
      <c r="X42" s="124">
        <f t="shared" si="97"/>
        <v>206153.51081052198</v>
      </c>
      <c r="Y42" s="124">
        <f t="shared" si="97"/>
        <v>251904.82297565471</v>
      </c>
      <c r="Z42" s="124">
        <f t="shared" si="97"/>
        <v>11574.131074995461</v>
      </c>
      <c r="AA42" s="124">
        <f t="shared" si="97"/>
        <v>34722.393224986379</v>
      </c>
      <c r="AB42" s="124">
        <f t="shared" si="97"/>
        <v>68899.574315123682</v>
      </c>
      <c r="AC42" s="124">
        <f t="shared" si="97"/>
        <v>114650.88648025646</v>
      </c>
      <c r="AD42" s="124">
        <f t="shared" si="97"/>
        <v>160402.1986453892</v>
      </c>
      <c r="AE42" s="124">
        <f t="shared" si="97"/>
        <v>206153.51081052198</v>
      </c>
      <c r="AF42" s="124">
        <f t="shared" si="97"/>
        <v>251904.82297565471</v>
      </c>
      <c r="AG42" s="124">
        <f t="shared" si="97"/>
        <v>11574.131074995461</v>
      </c>
      <c r="AH42" s="124">
        <f t="shared" si="97"/>
        <v>34722.393224986379</v>
      </c>
      <c r="AI42" s="124">
        <f t="shared" si="97"/>
        <v>68899.574315123682</v>
      </c>
      <c r="AJ42" s="124">
        <f t="shared" si="97"/>
        <v>114650.88648025646</v>
      </c>
      <c r="AK42" s="124">
        <f t="shared" si="97"/>
        <v>160402.1986453892</v>
      </c>
      <c r="AL42" s="124">
        <f t="shared" si="97"/>
        <v>206153.51081052198</v>
      </c>
      <c r="AM42" s="124">
        <f t="shared" si="97"/>
        <v>251904.82297565471</v>
      </c>
      <c r="AN42" s="124">
        <f t="shared" ref="AN42" si="98">SUM(AN38:AN41)</f>
        <v>11574.131074995461</v>
      </c>
      <c r="AO42" s="124">
        <f t="shared" ref="AO42" si="99">SUM(AO38:AO41)</f>
        <v>34722.393224986379</v>
      </c>
      <c r="AP42" s="124">
        <f t="shared" ref="AP42" si="100">SUM(AP38:AP41)</f>
        <v>68899.574315123682</v>
      </c>
      <c r="AQ42" s="124">
        <f t="shared" ref="AQ42" si="101">SUM(AQ38:AQ41)</f>
        <v>114650.88648025646</v>
      </c>
      <c r="AR42" s="124">
        <f t="shared" ref="AR42" si="102">SUM(AR38:AR41)</f>
        <v>160402.1986453892</v>
      </c>
      <c r="AS42" s="124">
        <f t="shared" ref="AS42" si="103">SUM(AS38:AS41)</f>
        <v>206153.51081052198</v>
      </c>
      <c r="AT42" s="124">
        <f t="shared" ref="AT42" si="104">SUM(AT38:AT41)</f>
        <v>251904.82297565471</v>
      </c>
    </row>
    <row r="43" spans="2:46">
      <c r="B43" s="123"/>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row>
    <row r="44" spans="2:46">
      <c r="B44" s="7" t="s">
        <v>132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row>
    <row r="45" spans="2:46">
      <c r="B45" s="1" t="s">
        <v>133</v>
      </c>
      <c r="C45" s="123" t="s">
        <v>28</v>
      </c>
      <c r="D45" s="123"/>
      <c r="E45" s="141">
        <v>1</v>
      </c>
      <c r="F45" s="141">
        <f>E45</f>
        <v>1</v>
      </c>
      <c r="G45" s="141">
        <f t="shared" ref="G45:AM45" si="105">F45</f>
        <v>1</v>
      </c>
      <c r="H45" s="141">
        <f t="shared" si="105"/>
        <v>1</v>
      </c>
      <c r="I45" s="141">
        <f t="shared" si="105"/>
        <v>1</v>
      </c>
      <c r="J45" s="141">
        <f t="shared" si="105"/>
        <v>1</v>
      </c>
      <c r="K45" s="141">
        <f t="shared" si="105"/>
        <v>1</v>
      </c>
      <c r="L45" s="141">
        <f t="shared" si="105"/>
        <v>1</v>
      </c>
      <c r="M45" s="141">
        <f t="shared" si="105"/>
        <v>1</v>
      </c>
      <c r="N45" s="141">
        <f t="shared" si="105"/>
        <v>1</v>
      </c>
      <c r="O45" s="141">
        <f t="shared" si="105"/>
        <v>1</v>
      </c>
      <c r="P45" s="141">
        <f t="shared" si="105"/>
        <v>1</v>
      </c>
      <c r="Q45" s="141">
        <f t="shared" si="105"/>
        <v>1</v>
      </c>
      <c r="R45" s="141">
        <f t="shared" si="105"/>
        <v>1</v>
      </c>
      <c r="S45" s="141">
        <f t="shared" si="105"/>
        <v>1</v>
      </c>
      <c r="T45" s="141">
        <f t="shared" si="105"/>
        <v>1</v>
      </c>
      <c r="U45" s="141">
        <f t="shared" si="105"/>
        <v>1</v>
      </c>
      <c r="V45" s="141">
        <f t="shared" si="105"/>
        <v>1</v>
      </c>
      <c r="W45" s="141">
        <f t="shared" si="105"/>
        <v>1</v>
      </c>
      <c r="X45" s="141">
        <f t="shared" si="105"/>
        <v>1</v>
      </c>
      <c r="Y45" s="141">
        <f t="shared" si="105"/>
        <v>1</v>
      </c>
      <c r="Z45" s="141">
        <f t="shared" si="105"/>
        <v>1</v>
      </c>
      <c r="AA45" s="141">
        <f t="shared" si="105"/>
        <v>1</v>
      </c>
      <c r="AB45" s="141">
        <f t="shared" si="105"/>
        <v>1</v>
      </c>
      <c r="AC45" s="141">
        <f t="shared" si="105"/>
        <v>1</v>
      </c>
      <c r="AD45" s="141">
        <f t="shared" si="105"/>
        <v>1</v>
      </c>
      <c r="AE45" s="141">
        <f t="shared" si="105"/>
        <v>1</v>
      </c>
      <c r="AF45" s="141">
        <f t="shared" si="105"/>
        <v>1</v>
      </c>
      <c r="AG45" s="141">
        <f t="shared" si="105"/>
        <v>1</v>
      </c>
      <c r="AH45" s="141">
        <f t="shared" si="105"/>
        <v>1</v>
      </c>
      <c r="AI45" s="141">
        <f t="shared" si="105"/>
        <v>1</v>
      </c>
      <c r="AJ45" s="141">
        <f t="shared" si="105"/>
        <v>1</v>
      </c>
      <c r="AK45" s="141">
        <f t="shared" si="105"/>
        <v>1</v>
      </c>
      <c r="AL45" s="141">
        <f t="shared" si="105"/>
        <v>1</v>
      </c>
      <c r="AM45" s="141">
        <f t="shared" si="105"/>
        <v>1</v>
      </c>
      <c r="AN45" s="141">
        <f t="shared" ref="AN45" si="106">AM45</f>
        <v>1</v>
      </c>
      <c r="AO45" s="141">
        <f t="shared" ref="AO45" si="107">AN45</f>
        <v>1</v>
      </c>
      <c r="AP45" s="141">
        <f t="shared" ref="AP45" si="108">AO45</f>
        <v>1</v>
      </c>
      <c r="AQ45" s="141">
        <f t="shared" ref="AQ45" si="109">AP45</f>
        <v>1</v>
      </c>
      <c r="AR45" s="141">
        <f t="shared" ref="AR45" si="110">AQ45</f>
        <v>1</v>
      </c>
      <c r="AS45" s="141">
        <f t="shared" ref="AS45" si="111">AR45</f>
        <v>1</v>
      </c>
      <c r="AT45" s="141">
        <f t="shared" ref="AT45" si="112">AS45</f>
        <v>1</v>
      </c>
    </row>
    <row r="46" spans="2:46">
      <c r="B46" s="1" t="s">
        <v>371</v>
      </c>
      <c r="C46" s="123" t="s">
        <v>85</v>
      </c>
      <c r="D46" s="123"/>
      <c r="E46" s="142">
        <f>E45*(E29/1000*Productivity!$D$9)</f>
        <v>2</v>
      </c>
      <c r="F46" s="142">
        <f>F45*(F29/1000*Productivity!$D$9)</f>
        <v>6</v>
      </c>
      <c r="G46" s="142">
        <f>G45*(G29/1000*Productivity!$D$9)</f>
        <v>12</v>
      </c>
      <c r="H46" s="142">
        <f>H45*(H29/1000*Productivity!$D$9)</f>
        <v>20</v>
      </c>
      <c r="I46" s="142">
        <f>I45*(I29/1000*Productivity!$D$9)</f>
        <v>28</v>
      </c>
      <c r="J46" s="142">
        <f>J45*(J29/1000*Productivity!$D$9)</f>
        <v>36</v>
      </c>
      <c r="K46" s="142">
        <f>K45*(K29/1000*Productivity!$D$9)</f>
        <v>44</v>
      </c>
      <c r="L46" s="142">
        <f>L45*(L29/1000*Productivity!$D$9)</f>
        <v>2</v>
      </c>
      <c r="M46" s="142">
        <f>M45*(M29/1000*Productivity!$D$9)</f>
        <v>6</v>
      </c>
      <c r="N46" s="142">
        <f>N45*(N29/1000*Productivity!$D$9)</f>
        <v>12</v>
      </c>
      <c r="O46" s="142">
        <f>O45*(O29/1000*Productivity!$D$9)</f>
        <v>20</v>
      </c>
      <c r="P46" s="142">
        <f>P45*(P29/1000*Productivity!$D$9)</f>
        <v>28</v>
      </c>
      <c r="Q46" s="142">
        <f>Q45*(Q29/1000*Productivity!$D$9)</f>
        <v>36</v>
      </c>
      <c r="R46" s="142">
        <f>R45*(R29/1000*Productivity!$D$9)</f>
        <v>44</v>
      </c>
      <c r="S46" s="142">
        <f>S45*(S29/1000*Productivity!$D$9)</f>
        <v>2</v>
      </c>
      <c r="T46" s="142">
        <f>T45*(T29/1000*Productivity!$D$9)</f>
        <v>6</v>
      </c>
      <c r="U46" s="142">
        <f>U45*(U29/1000*Productivity!$D$9)</f>
        <v>12</v>
      </c>
      <c r="V46" s="142">
        <f>V45*(V29/1000*Productivity!$D$9)</f>
        <v>20</v>
      </c>
      <c r="W46" s="142">
        <f>W45*(W29/1000*Productivity!$D$9)</f>
        <v>28</v>
      </c>
      <c r="X46" s="142">
        <f>X45*(X29/1000*Productivity!$D$9)</f>
        <v>36</v>
      </c>
      <c r="Y46" s="142">
        <f>Y45*(Y29/1000*Productivity!$D$9)</f>
        <v>44</v>
      </c>
      <c r="Z46" s="142">
        <f>Z45*(Z29/1000*Productivity!$D$9)</f>
        <v>2</v>
      </c>
      <c r="AA46" s="142">
        <f>AA45*(AA29/1000*Productivity!$D$9)</f>
        <v>6</v>
      </c>
      <c r="AB46" s="142">
        <f>AB45*(AB29/1000*Productivity!$D$9)</f>
        <v>12</v>
      </c>
      <c r="AC46" s="142">
        <f>AC45*(AC29/1000*Productivity!$D$9)</f>
        <v>20</v>
      </c>
      <c r="AD46" s="142">
        <f>AD45*(AD29/1000*Productivity!$D$9)</f>
        <v>28</v>
      </c>
      <c r="AE46" s="142">
        <f>AE45*(AE29/1000*Productivity!$D$9)</f>
        <v>36</v>
      </c>
      <c r="AF46" s="142">
        <f>AF45*(AF29/1000*Productivity!$D$9)</f>
        <v>44</v>
      </c>
      <c r="AG46" s="142">
        <f>AG45*(AG29/1000*Productivity!$D$9)</f>
        <v>2</v>
      </c>
      <c r="AH46" s="142">
        <f>AH45*(AH29/1000*Productivity!$D$9)</f>
        <v>6</v>
      </c>
      <c r="AI46" s="142">
        <f>AI45*(AI29/1000*Productivity!$D$9)</f>
        <v>12</v>
      </c>
      <c r="AJ46" s="142">
        <f>AJ45*(AJ29/1000*Productivity!$D$9)</f>
        <v>20</v>
      </c>
      <c r="AK46" s="142">
        <f>AK45*(AK29/1000*Productivity!$D$9)</f>
        <v>28</v>
      </c>
      <c r="AL46" s="142">
        <f>AL45*(AL29/1000*Productivity!$D$9)</f>
        <v>36</v>
      </c>
      <c r="AM46" s="142">
        <f>AM45*(AM29/1000*Productivity!$D$9)</f>
        <v>44</v>
      </c>
      <c r="AN46" s="142">
        <f>AN45*(AN29/1000*Productivity!$D$9)</f>
        <v>2</v>
      </c>
      <c r="AO46" s="142">
        <f>AO45*(AO29/1000*Productivity!$D$9)</f>
        <v>6</v>
      </c>
      <c r="AP46" s="142">
        <f>AP45*(AP29/1000*Productivity!$D$9)</f>
        <v>12</v>
      </c>
      <c r="AQ46" s="142">
        <f>AQ45*(AQ29/1000*Productivity!$D$9)</f>
        <v>20</v>
      </c>
      <c r="AR46" s="142">
        <f>AR45*(AR29/1000*Productivity!$D$9)</f>
        <v>28</v>
      </c>
      <c r="AS46" s="142">
        <f>AS45*(AS29/1000*Productivity!$D$9)</f>
        <v>36</v>
      </c>
      <c r="AT46" s="142">
        <f>AT45*(AT29/1000*Productivity!$D$9)</f>
        <v>44</v>
      </c>
    </row>
    <row r="47" spans="2:46">
      <c r="B47" s="1" t="s">
        <v>371</v>
      </c>
      <c r="C47" s="123" t="s">
        <v>134</v>
      </c>
      <c r="D47" s="123"/>
      <c r="E47" s="142">
        <f t="shared" ref="E47:AM47" si="113">E46/Hours_per_day</f>
        <v>0.2</v>
      </c>
      <c r="F47" s="142">
        <f t="shared" si="113"/>
        <v>0.6</v>
      </c>
      <c r="G47" s="142">
        <f t="shared" si="113"/>
        <v>1.2</v>
      </c>
      <c r="H47" s="142">
        <f t="shared" si="113"/>
        <v>2</v>
      </c>
      <c r="I47" s="142">
        <f t="shared" si="113"/>
        <v>2.8</v>
      </c>
      <c r="J47" s="142">
        <f t="shared" si="113"/>
        <v>3.6</v>
      </c>
      <c r="K47" s="142">
        <f t="shared" si="113"/>
        <v>4.4000000000000004</v>
      </c>
      <c r="L47" s="142">
        <f t="shared" si="113"/>
        <v>0.2</v>
      </c>
      <c r="M47" s="142">
        <f t="shared" si="113"/>
        <v>0.6</v>
      </c>
      <c r="N47" s="142">
        <f t="shared" si="113"/>
        <v>1.2</v>
      </c>
      <c r="O47" s="142">
        <f t="shared" si="113"/>
        <v>2</v>
      </c>
      <c r="P47" s="142">
        <f t="shared" si="113"/>
        <v>2.8</v>
      </c>
      <c r="Q47" s="142">
        <f t="shared" si="113"/>
        <v>3.6</v>
      </c>
      <c r="R47" s="142">
        <f t="shared" si="113"/>
        <v>4.4000000000000004</v>
      </c>
      <c r="S47" s="142">
        <f t="shared" si="113"/>
        <v>0.2</v>
      </c>
      <c r="T47" s="142">
        <f t="shared" si="113"/>
        <v>0.6</v>
      </c>
      <c r="U47" s="142">
        <f t="shared" si="113"/>
        <v>1.2</v>
      </c>
      <c r="V47" s="142">
        <f t="shared" si="113"/>
        <v>2</v>
      </c>
      <c r="W47" s="142">
        <f t="shared" si="113"/>
        <v>2.8</v>
      </c>
      <c r="X47" s="142">
        <f t="shared" si="113"/>
        <v>3.6</v>
      </c>
      <c r="Y47" s="142">
        <f t="shared" si="113"/>
        <v>4.4000000000000004</v>
      </c>
      <c r="Z47" s="142">
        <f t="shared" si="113"/>
        <v>0.2</v>
      </c>
      <c r="AA47" s="142">
        <f t="shared" si="113"/>
        <v>0.6</v>
      </c>
      <c r="AB47" s="142">
        <f t="shared" si="113"/>
        <v>1.2</v>
      </c>
      <c r="AC47" s="142">
        <f t="shared" si="113"/>
        <v>2</v>
      </c>
      <c r="AD47" s="142">
        <f t="shared" si="113"/>
        <v>2.8</v>
      </c>
      <c r="AE47" s="142">
        <f t="shared" si="113"/>
        <v>3.6</v>
      </c>
      <c r="AF47" s="142">
        <f t="shared" si="113"/>
        <v>4.4000000000000004</v>
      </c>
      <c r="AG47" s="142">
        <f t="shared" si="113"/>
        <v>0.2</v>
      </c>
      <c r="AH47" s="142">
        <f t="shared" si="113"/>
        <v>0.6</v>
      </c>
      <c r="AI47" s="142">
        <f t="shared" si="113"/>
        <v>1.2</v>
      </c>
      <c r="AJ47" s="142">
        <f t="shared" si="113"/>
        <v>2</v>
      </c>
      <c r="AK47" s="142">
        <f t="shared" si="113"/>
        <v>2.8</v>
      </c>
      <c r="AL47" s="142">
        <f t="shared" si="113"/>
        <v>3.6</v>
      </c>
      <c r="AM47" s="142">
        <f t="shared" si="113"/>
        <v>4.4000000000000004</v>
      </c>
      <c r="AN47" s="142">
        <f t="shared" ref="AN47" si="114">AN46/Hours_per_day</f>
        <v>0.2</v>
      </c>
      <c r="AO47" s="142">
        <f t="shared" ref="AO47" si="115">AO46/Hours_per_day</f>
        <v>0.6</v>
      </c>
      <c r="AP47" s="142">
        <f t="shared" ref="AP47" si="116">AP46/Hours_per_day</f>
        <v>1.2</v>
      </c>
      <c r="AQ47" s="142">
        <f t="shared" ref="AQ47" si="117">AQ46/Hours_per_day</f>
        <v>2</v>
      </c>
      <c r="AR47" s="142">
        <f t="shared" ref="AR47" si="118">AR46/Hours_per_day</f>
        <v>2.8</v>
      </c>
      <c r="AS47" s="142">
        <f t="shared" ref="AS47" si="119">AS46/Hours_per_day</f>
        <v>3.6</v>
      </c>
      <c r="AT47" s="142">
        <f t="shared" ref="AT47" si="120">AT46/Hours_per_day</f>
        <v>4.4000000000000004</v>
      </c>
    </row>
    <row r="48" spans="2:46" ht="15" thickBot="1">
      <c r="B48" s="1" t="s">
        <v>291</v>
      </c>
      <c r="C48" s="123" t="s">
        <v>134</v>
      </c>
      <c r="D48" s="138">
        <v>10000</v>
      </c>
      <c r="E48" s="143">
        <f>$D48*E47</f>
        <v>2000</v>
      </c>
      <c r="F48" s="143">
        <f t="shared" ref="F48:AM48" si="121">$D48*F47</f>
        <v>6000</v>
      </c>
      <c r="G48" s="143">
        <f t="shared" si="121"/>
        <v>12000</v>
      </c>
      <c r="H48" s="143">
        <f t="shared" si="121"/>
        <v>20000</v>
      </c>
      <c r="I48" s="143">
        <f t="shared" si="121"/>
        <v>28000</v>
      </c>
      <c r="J48" s="143">
        <f t="shared" si="121"/>
        <v>36000</v>
      </c>
      <c r="K48" s="143">
        <f t="shared" si="121"/>
        <v>44000</v>
      </c>
      <c r="L48" s="143">
        <f t="shared" si="121"/>
        <v>2000</v>
      </c>
      <c r="M48" s="143">
        <f t="shared" si="121"/>
        <v>6000</v>
      </c>
      <c r="N48" s="143">
        <f t="shared" si="121"/>
        <v>12000</v>
      </c>
      <c r="O48" s="143">
        <f t="shared" si="121"/>
        <v>20000</v>
      </c>
      <c r="P48" s="143">
        <f t="shared" si="121"/>
        <v>28000</v>
      </c>
      <c r="Q48" s="143">
        <f t="shared" si="121"/>
        <v>36000</v>
      </c>
      <c r="R48" s="143">
        <f t="shared" si="121"/>
        <v>44000</v>
      </c>
      <c r="S48" s="143">
        <f t="shared" si="121"/>
        <v>2000</v>
      </c>
      <c r="T48" s="143">
        <f t="shared" si="121"/>
        <v>6000</v>
      </c>
      <c r="U48" s="143">
        <f t="shared" si="121"/>
        <v>12000</v>
      </c>
      <c r="V48" s="143">
        <f t="shared" si="121"/>
        <v>20000</v>
      </c>
      <c r="W48" s="143">
        <f t="shared" si="121"/>
        <v>28000</v>
      </c>
      <c r="X48" s="143">
        <f t="shared" si="121"/>
        <v>36000</v>
      </c>
      <c r="Y48" s="143">
        <f t="shared" si="121"/>
        <v>44000</v>
      </c>
      <c r="Z48" s="143">
        <f t="shared" si="121"/>
        <v>2000</v>
      </c>
      <c r="AA48" s="143">
        <f t="shared" si="121"/>
        <v>6000</v>
      </c>
      <c r="AB48" s="143">
        <f t="shared" si="121"/>
        <v>12000</v>
      </c>
      <c r="AC48" s="143">
        <f t="shared" si="121"/>
        <v>20000</v>
      </c>
      <c r="AD48" s="143">
        <f t="shared" si="121"/>
        <v>28000</v>
      </c>
      <c r="AE48" s="143">
        <f t="shared" si="121"/>
        <v>36000</v>
      </c>
      <c r="AF48" s="143">
        <f t="shared" si="121"/>
        <v>44000</v>
      </c>
      <c r="AG48" s="143">
        <f t="shared" si="121"/>
        <v>2000</v>
      </c>
      <c r="AH48" s="143">
        <f t="shared" si="121"/>
        <v>6000</v>
      </c>
      <c r="AI48" s="143">
        <f t="shared" si="121"/>
        <v>12000</v>
      </c>
      <c r="AJ48" s="143">
        <f t="shared" si="121"/>
        <v>20000</v>
      </c>
      <c r="AK48" s="143">
        <f t="shared" si="121"/>
        <v>28000</v>
      </c>
      <c r="AL48" s="143">
        <f t="shared" si="121"/>
        <v>36000</v>
      </c>
      <c r="AM48" s="143">
        <f t="shared" si="121"/>
        <v>44000</v>
      </c>
      <c r="AN48" s="143">
        <f t="shared" ref="AN48:AT48" si="122">$D48*AN47</f>
        <v>2000</v>
      </c>
      <c r="AO48" s="143">
        <f t="shared" si="122"/>
        <v>6000</v>
      </c>
      <c r="AP48" s="143">
        <f t="shared" si="122"/>
        <v>12000</v>
      </c>
      <c r="AQ48" s="143">
        <f t="shared" si="122"/>
        <v>20000</v>
      </c>
      <c r="AR48" s="143">
        <f t="shared" si="122"/>
        <v>28000</v>
      </c>
      <c r="AS48" s="143">
        <f t="shared" si="122"/>
        <v>36000</v>
      </c>
      <c r="AT48" s="143">
        <f t="shared" si="122"/>
        <v>44000</v>
      </c>
    </row>
    <row r="49" spans="2:46" ht="15" thickTop="1">
      <c r="B49" s="140" t="s">
        <v>45</v>
      </c>
      <c r="C49" s="123" t="s">
        <v>76</v>
      </c>
      <c r="D49" s="123"/>
      <c r="E49" s="2">
        <f>E48</f>
        <v>2000</v>
      </c>
      <c r="F49" s="2">
        <f t="shared" ref="F49:AM49" si="123">F48</f>
        <v>6000</v>
      </c>
      <c r="G49" s="2">
        <f t="shared" si="123"/>
        <v>12000</v>
      </c>
      <c r="H49" s="2">
        <f t="shared" si="123"/>
        <v>20000</v>
      </c>
      <c r="I49" s="2">
        <f t="shared" si="123"/>
        <v>28000</v>
      </c>
      <c r="J49" s="2">
        <f t="shared" si="123"/>
        <v>36000</v>
      </c>
      <c r="K49" s="2">
        <f t="shared" si="123"/>
        <v>44000</v>
      </c>
      <c r="L49" s="2">
        <f t="shared" si="123"/>
        <v>2000</v>
      </c>
      <c r="M49" s="2">
        <f t="shared" si="123"/>
        <v>6000</v>
      </c>
      <c r="N49" s="2">
        <f t="shared" si="123"/>
        <v>12000</v>
      </c>
      <c r="O49" s="2">
        <f t="shared" si="123"/>
        <v>20000</v>
      </c>
      <c r="P49" s="2">
        <f t="shared" si="123"/>
        <v>28000</v>
      </c>
      <c r="Q49" s="2">
        <f t="shared" si="123"/>
        <v>36000</v>
      </c>
      <c r="R49" s="2">
        <f t="shared" si="123"/>
        <v>44000</v>
      </c>
      <c r="S49" s="2">
        <f t="shared" si="123"/>
        <v>2000</v>
      </c>
      <c r="T49" s="2">
        <f t="shared" si="123"/>
        <v>6000</v>
      </c>
      <c r="U49" s="2">
        <f t="shared" si="123"/>
        <v>12000</v>
      </c>
      <c r="V49" s="2">
        <f t="shared" si="123"/>
        <v>20000</v>
      </c>
      <c r="W49" s="2">
        <f t="shared" si="123"/>
        <v>28000</v>
      </c>
      <c r="X49" s="2">
        <f t="shared" si="123"/>
        <v>36000</v>
      </c>
      <c r="Y49" s="2">
        <f t="shared" si="123"/>
        <v>44000</v>
      </c>
      <c r="Z49" s="2">
        <f t="shared" si="123"/>
        <v>2000</v>
      </c>
      <c r="AA49" s="2">
        <f t="shared" si="123"/>
        <v>6000</v>
      </c>
      <c r="AB49" s="2">
        <f t="shared" si="123"/>
        <v>12000</v>
      </c>
      <c r="AC49" s="2">
        <f t="shared" si="123"/>
        <v>20000</v>
      </c>
      <c r="AD49" s="2">
        <f t="shared" si="123"/>
        <v>28000</v>
      </c>
      <c r="AE49" s="2">
        <f t="shared" si="123"/>
        <v>36000</v>
      </c>
      <c r="AF49" s="2">
        <f t="shared" si="123"/>
        <v>44000</v>
      </c>
      <c r="AG49" s="2">
        <f t="shared" si="123"/>
        <v>2000</v>
      </c>
      <c r="AH49" s="2">
        <f t="shared" si="123"/>
        <v>6000</v>
      </c>
      <c r="AI49" s="2">
        <f t="shared" si="123"/>
        <v>12000</v>
      </c>
      <c r="AJ49" s="2">
        <f t="shared" si="123"/>
        <v>20000</v>
      </c>
      <c r="AK49" s="2">
        <f t="shared" si="123"/>
        <v>28000</v>
      </c>
      <c r="AL49" s="2">
        <f t="shared" si="123"/>
        <v>36000</v>
      </c>
      <c r="AM49" s="2">
        <f t="shared" si="123"/>
        <v>44000</v>
      </c>
      <c r="AN49" s="2">
        <f t="shared" ref="AN49:AT49" si="124">AN48</f>
        <v>2000</v>
      </c>
      <c r="AO49" s="2">
        <f t="shared" si="124"/>
        <v>6000</v>
      </c>
      <c r="AP49" s="2">
        <f t="shared" si="124"/>
        <v>12000</v>
      </c>
      <c r="AQ49" s="2">
        <f t="shared" si="124"/>
        <v>20000</v>
      </c>
      <c r="AR49" s="2">
        <f t="shared" si="124"/>
        <v>28000</v>
      </c>
      <c r="AS49" s="2">
        <f t="shared" si="124"/>
        <v>36000</v>
      </c>
      <c r="AT49" s="2">
        <f t="shared" si="124"/>
        <v>44000</v>
      </c>
    </row>
    <row r="50" spans="2:46">
      <c r="B50" s="140"/>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row>
    <row r="51" spans="2:46">
      <c r="B51" s="7" t="s">
        <v>135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row>
    <row r="52" spans="2:46" ht="15" thickBot="1">
      <c r="B52" s="1" t="s">
        <v>290</v>
      </c>
      <c r="C52" s="123" t="s">
        <v>134</v>
      </c>
      <c r="D52" s="138">
        <v>25000</v>
      </c>
      <c r="E52" s="144">
        <v>0.2</v>
      </c>
      <c r="F52" s="144">
        <f>E52+0.2</f>
        <v>0.4</v>
      </c>
      <c r="G52" s="144">
        <f t="shared" ref="G52:K52" si="125">F52+0.2</f>
        <v>0.60000000000000009</v>
      </c>
      <c r="H52" s="144">
        <f t="shared" si="125"/>
        <v>0.8</v>
      </c>
      <c r="I52" s="144">
        <f t="shared" si="125"/>
        <v>1</v>
      </c>
      <c r="J52" s="144">
        <f t="shared" si="125"/>
        <v>1.2</v>
      </c>
      <c r="K52" s="144">
        <f t="shared" si="125"/>
        <v>1.4</v>
      </c>
      <c r="L52" s="144">
        <f>E52</f>
        <v>0.2</v>
      </c>
      <c r="M52" s="144">
        <f t="shared" ref="M52:AM52" si="126">F52</f>
        <v>0.4</v>
      </c>
      <c r="N52" s="144">
        <f t="shared" si="126"/>
        <v>0.60000000000000009</v>
      </c>
      <c r="O52" s="144">
        <f t="shared" si="126"/>
        <v>0.8</v>
      </c>
      <c r="P52" s="144">
        <f t="shared" si="126"/>
        <v>1</v>
      </c>
      <c r="Q52" s="144">
        <f t="shared" si="126"/>
        <v>1.2</v>
      </c>
      <c r="R52" s="144">
        <f t="shared" si="126"/>
        <v>1.4</v>
      </c>
      <c r="S52" s="144">
        <f t="shared" si="126"/>
        <v>0.2</v>
      </c>
      <c r="T52" s="144">
        <f t="shared" si="126"/>
        <v>0.4</v>
      </c>
      <c r="U52" s="144">
        <f t="shared" si="126"/>
        <v>0.60000000000000009</v>
      </c>
      <c r="V52" s="144">
        <f t="shared" si="126"/>
        <v>0.8</v>
      </c>
      <c r="W52" s="144">
        <f t="shared" si="126"/>
        <v>1</v>
      </c>
      <c r="X52" s="144">
        <f t="shared" si="126"/>
        <v>1.2</v>
      </c>
      <c r="Y52" s="144">
        <f t="shared" si="126"/>
        <v>1.4</v>
      </c>
      <c r="Z52" s="144">
        <f t="shared" si="126"/>
        <v>0.2</v>
      </c>
      <c r="AA52" s="144">
        <f t="shared" si="126"/>
        <v>0.4</v>
      </c>
      <c r="AB52" s="144">
        <f t="shared" si="126"/>
        <v>0.60000000000000009</v>
      </c>
      <c r="AC52" s="144">
        <f t="shared" si="126"/>
        <v>0.8</v>
      </c>
      <c r="AD52" s="144">
        <f t="shared" si="126"/>
        <v>1</v>
      </c>
      <c r="AE52" s="144">
        <f t="shared" si="126"/>
        <v>1.2</v>
      </c>
      <c r="AF52" s="144">
        <f t="shared" si="126"/>
        <v>1.4</v>
      </c>
      <c r="AG52" s="144">
        <f t="shared" si="126"/>
        <v>0.2</v>
      </c>
      <c r="AH52" s="144">
        <f t="shared" si="126"/>
        <v>0.4</v>
      </c>
      <c r="AI52" s="144">
        <f t="shared" si="126"/>
        <v>0.60000000000000009</v>
      </c>
      <c r="AJ52" s="144">
        <f t="shared" si="126"/>
        <v>0.8</v>
      </c>
      <c r="AK52" s="144">
        <f t="shared" si="126"/>
        <v>1</v>
      </c>
      <c r="AL52" s="144">
        <f t="shared" si="126"/>
        <v>1.2</v>
      </c>
      <c r="AM52" s="144">
        <f t="shared" si="126"/>
        <v>1.4</v>
      </c>
      <c r="AN52" s="144">
        <f t="shared" ref="AN52" si="127">AG52</f>
        <v>0.2</v>
      </c>
      <c r="AO52" s="144">
        <f t="shared" ref="AO52" si="128">AH52</f>
        <v>0.4</v>
      </c>
      <c r="AP52" s="144">
        <f t="shared" ref="AP52" si="129">AI52</f>
        <v>0.60000000000000009</v>
      </c>
      <c r="AQ52" s="144">
        <f t="shared" ref="AQ52" si="130">AJ52</f>
        <v>0.8</v>
      </c>
      <c r="AR52" s="144">
        <f t="shared" ref="AR52" si="131">AK52</f>
        <v>1</v>
      </c>
      <c r="AS52" s="144">
        <f t="shared" ref="AS52" si="132">AL52</f>
        <v>1.2</v>
      </c>
      <c r="AT52" s="144">
        <f t="shared" ref="AT52" si="133">AM52</f>
        <v>1.4</v>
      </c>
    </row>
    <row r="53" spans="2:46" ht="15" thickTop="1">
      <c r="B53" s="140" t="s">
        <v>40</v>
      </c>
      <c r="C53" s="123" t="s">
        <v>136</v>
      </c>
      <c r="D53" s="123"/>
      <c r="E53" s="2">
        <f t="shared" ref="E53:AT53" si="134">SUMPRODUCT(E52:E52,$D52:$D52)</f>
        <v>5000</v>
      </c>
      <c r="F53" s="2">
        <f t="shared" si="134"/>
        <v>10000</v>
      </c>
      <c r="G53" s="2">
        <f t="shared" si="134"/>
        <v>15000.000000000002</v>
      </c>
      <c r="H53" s="2">
        <f t="shared" si="134"/>
        <v>20000</v>
      </c>
      <c r="I53" s="2">
        <f t="shared" si="134"/>
        <v>25000</v>
      </c>
      <c r="J53" s="2">
        <f t="shared" si="134"/>
        <v>30000</v>
      </c>
      <c r="K53" s="2">
        <f t="shared" si="134"/>
        <v>35000</v>
      </c>
      <c r="L53" s="2">
        <f t="shared" si="134"/>
        <v>5000</v>
      </c>
      <c r="M53" s="2">
        <f t="shared" si="134"/>
        <v>10000</v>
      </c>
      <c r="N53" s="2">
        <f t="shared" si="134"/>
        <v>15000.000000000002</v>
      </c>
      <c r="O53" s="2">
        <f t="shared" si="134"/>
        <v>20000</v>
      </c>
      <c r="P53" s="2">
        <f t="shared" si="134"/>
        <v>25000</v>
      </c>
      <c r="Q53" s="2">
        <f t="shared" si="134"/>
        <v>30000</v>
      </c>
      <c r="R53" s="2">
        <f t="shared" si="134"/>
        <v>35000</v>
      </c>
      <c r="S53" s="2">
        <f t="shared" si="134"/>
        <v>5000</v>
      </c>
      <c r="T53" s="2">
        <f t="shared" si="134"/>
        <v>10000</v>
      </c>
      <c r="U53" s="2">
        <f t="shared" si="134"/>
        <v>15000.000000000002</v>
      </c>
      <c r="V53" s="2">
        <f t="shared" si="134"/>
        <v>20000</v>
      </c>
      <c r="W53" s="2">
        <f t="shared" si="134"/>
        <v>25000</v>
      </c>
      <c r="X53" s="2">
        <f t="shared" si="134"/>
        <v>30000</v>
      </c>
      <c r="Y53" s="2">
        <f t="shared" si="134"/>
        <v>35000</v>
      </c>
      <c r="Z53" s="2">
        <f t="shared" si="134"/>
        <v>5000</v>
      </c>
      <c r="AA53" s="2">
        <f t="shared" si="134"/>
        <v>10000</v>
      </c>
      <c r="AB53" s="2">
        <f t="shared" si="134"/>
        <v>15000.000000000002</v>
      </c>
      <c r="AC53" s="2">
        <f t="shared" si="134"/>
        <v>20000</v>
      </c>
      <c r="AD53" s="2">
        <f t="shared" si="134"/>
        <v>25000</v>
      </c>
      <c r="AE53" s="2">
        <f t="shared" si="134"/>
        <v>30000</v>
      </c>
      <c r="AF53" s="2">
        <f t="shared" si="134"/>
        <v>35000</v>
      </c>
      <c r="AG53" s="2">
        <f t="shared" si="134"/>
        <v>5000</v>
      </c>
      <c r="AH53" s="2">
        <f t="shared" si="134"/>
        <v>10000</v>
      </c>
      <c r="AI53" s="2">
        <f t="shared" si="134"/>
        <v>15000.000000000002</v>
      </c>
      <c r="AJ53" s="2">
        <f t="shared" si="134"/>
        <v>20000</v>
      </c>
      <c r="AK53" s="2">
        <f t="shared" si="134"/>
        <v>25000</v>
      </c>
      <c r="AL53" s="2">
        <f t="shared" si="134"/>
        <v>30000</v>
      </c>
      <c r="AM53" s="2">
        <f t="shared" si="134"/>
        <v>35000</v>
      </c>
      <c r="AN53" s="2">
        <f t="shared" si="134"/>
        <v>5000</v>
      </c>
      <c r="AO53" s="2">
        <f t="shared" si="134"/>
        <v>10000</v>
      </c>
      <c r="AP53" s="2">
        <f t="shared" si="134"/>
        <v>15000.000000000002</v>
      </c>
      <c r="AQ53" s="2">
        <f t="shared" si="134"/>
        <v>20000</v>
      </c>
      <c r="AR53" s="2">
        <f t="shared" si="134"/>
        <v>25000</v>
      </c>
      <c r="AS53" s="2">
        <f t="shared" si="134"/>
        <v>30000</v>
      </c>
      <c r="AT53" s="2">
        <f t="shared" si="134"/>
        <v>35000</v>
      </c>
    </row>
    <row r="54" spans="2:46">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row>
    <row r="55" spans="2:46">
      <c r="B55" s="7" t="s">
        <v>137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row>
    <row r="56" spans="2:46">
      <c r="B56" s="1" t="s">
        <v>138</v>
      </c>
      <c r="C56" s="123" t="s">
        <v>28</v>
      </c>
      <c r="D56" s="123"/>
      <c r="E56" s="141">
        <v>1</v>
      </c>
      <c r="F56" s="141">
        <f>E56</f>
        <v>1</v>
      </c>
      <c r="G56" s="141">
        <f t="shared" ref="G56:AM56" si="135">F56</f>
        <v>1</v>
      </c>
      <c r="H56" s="141">
        <f t="shared" si="135"/>
        <v>1</v>
      </c>
      <c r="I56" s="141">
        <f t="shared" si="135"/>
        <v>1</v>
      </c>
      <c r="J56" s="141">
        <f t="shared" si="135"/>
        <v>1</v>
      </c>
      <c r="K56" s="141">
        <f t="shared" si="135"/>
        <v>1</v>
      </c>
      <c r="L56" s="141">
        <v>2</v>
      </c>
      <c r="M56" s="141">
        <f t="shared" si="135"/>
        <v>2</v>
      </c>
      <c r="N56" s="141">
        <f t="shared" si="135"/>
        <v>2</v>
      </c>
      <c r="O56" s="141">
        <f t="shared" si="135"/>
        <v>2</v>
      </c>
      <c r="P56" s="141">
        <f t="shared" si="135"/>
        <v>2</v>
      </c>
      <c r="Q56" s="141">
        <f t="shared" si="135"/>
        <v>2</v>
      </c>
      <c r="R56" s="141">
        <f t="shared" si="135"/>
        <v>2</v>
      </c>
      <c r="S56" s="141">
        <v>3</v>
      </c>
      <c r="T56" s="141">
        <f t="shared" si="135"/>
        <v>3</v>
      </c>
      <c r="U56" s="141">
        <f t="shared" si="135"/>
        <v>3</v>
      </c>
      <c r="V56" s="141">
        <f t="shared" si="135"/>
        <v>3</v>
      </c>
      <c r="W56" s="141">
        <f t="shared" si="135"/>
        <v>3</v>
      </c>
      <c r="X56" s="141">
        <f t="shared" si="135"/>
        <v>3</v>
      </c>
      <c r="Y56" s="141">
        <f t="shared" si="135"/>
        <v>3</v>
      </c>
      <c r="Z56" s="141">
        <v>4</v>
      </c>
      <c r="AA56" s="141">
        <f t="shared" si="135"/>
        <v>4</v>
      </c>
      <c r="AB56" s="141">
        <f t="shared" si="135"/>
        <v>4</v>
      </c>
      <c r="AC56" s="141">
        <f t="shared" si="135"/>
        <v>4</v>
      </c>
      <c r="AD56" s="141">
        <f t="shared" si="135"/>
        <v>4</v>
      </c>
      <c r="AE56" s="141">
        <f t="shared" si="135"/>
        <v>4</v>
      </c>
      <c r="AF56" s="141">
        <f t="shared" si="135"/>
        <v>4</v>
      </c>
      <c r="AG56" s="141">
        <v>5</v>
      </c>
      <c r="AH56" s="141">
        <f t="shared" si="135"/>
        <v>5</v>
      </c>
      <c r="AI56" s="141">
        <f t="shared" si="135"/>
        <v>5</v>
      </c>
      <c r="AJ56" s="141">
        <f t="shared" si="135"/>
        <v>5</v>
      </c>
      <c r="AK56" s="141">
        <f t="shared" si="135"/>
        <v>5</v>
      </c>
      <c r="AL56" s="141">
        <f t="shared" si="135"/>
        <v>5</v>
      </c>
      <c r="AM56" s="141">
        <f t="shared" si="135"/>
        <v>5</v>
      </c>
      <c r="AN56" s="141">
        <v>6</v>
      </c>
      <c r="AO56" s="141">
        <f t="shared" ref="AO56" si="136">AN56</f>
        <v>6</v>
      </c>
      <c r="AP56" s="141">
        <f t="shared" ref="AP56" si="137">AO56</f>
        <v>6</v>
      </c>
      <c r="AQ56" s="141">
        <f t="shared" ref="AQ56" si="138">AP56</f>
        <v>6</v>
      </c>
      <c r="AR56" s="141">
        <f t="shared" ref="AR56" si="139">AQ56</f>
        <v>6</v>
      </c>
      <c r="AS56" s="141">
        <f t="shared" ref="AS56" si="140">AR56</f>
        <v>6</v>
      </c>
      <c r="AT56" s="141">
        <f t="shared" ref="AT56" si="141">AS56</f>
        <v>6</v>
      </c>
    </row>
    <row r="57" spans="2:46" ht="15" thickBot="1">
      <c r="B57" s="1" t="s">
        <v>139</v>
      </c>
      <c r="C57" s="123" t="s">
        <v>140</v>
      </c>
      <c r="D57" s="145">
        <v>3</v>
      </c>
      <c r="E57" s="146">
        <f>E56*$D57</f>
        <v>3</v>
      </c>
      <c r="F57" s="146">
        <f t="shared" ref="F57:AM57" si="142">F56*$D57</f>
        <v>3</v>
      </c>
      <c r="G57" s="146">
        <f t="shared" si="142"/>
        <v>3</v>
      </c>
      <c r="H57" s="146">
        <f t="shared" si="142"/>
        <v>3</v>
      </c>
      <c r="I57" s="146">
        <f t="shared" si="142"/>
        <v>3</v>
      </c>
      <c r="J57" s="146">
        <f t="shared" si="142"/>
        <v>3</v>
      </c>
      <c r="K57" s="146">
        <f t="shared" si="142"/>
        <v>3</v>
      </c>
      <c r="L57" s="146">
        <f t="shared" si="142"/>
        <v>6</v>
      </c>
      <c r="M57" s="146">
        <f t="shared" si="142"/>
        <v>6</v>
      </c>
      <c r="N57" s="146">
        <f t="shared" si="142"/>
        <v>6</v>
      </c>
      <c r="O57" s="146">
        <f t="shared" si="142"/>
        <v>6</v>
      </c>
      <c r="P57" s="146">
        <f t="shared" si="142"/>
        <v>6</v>
      </c>
      <c r="Q57" s="146">
        <f t="shared" si="142"/>
        <v>6</v>
      </c>
      <c r="R57" s="146">
        <f t="shared" si="142"/>
        <v>6</v>
      </c>
      <c r="S57" s="146">
        <f t="shared" si="142"/>
        <v>9</v>
      </c>
      <c r="T57" s="146">
        <f t="shared" si="142"/>
        <v>9</v>
      </c>
      <c r="U57" s="146">
        <f t="shared" si="142"/>
        <v>9</v>
      </c>
      <c r="V57" s="146">
        <f t="shared" si="142"/>
        <v>9</v>
      </c>
      <c r="W57" s="146">
        <f t="shared" si="142"/>
        <v>9</v>
      </c>
      <c r="X57" s="146">
        <f t="shared" si="142"/>
        <v>9</v>
      </c>
      <c r="Y57" s="146">
        <f t="shared" si="142"/>
        <v>9</v>
      </c>
      <c r="Z57" s="146">
        <f t="shared" si="142"/>
        <v>12</v>
      </c>
      <c r="AA57" s="146">
        <f t="shared" si="142"/>
        <v>12</v>
      </c>
      <c r="AB57" s="146">
        <f t="shared" si="142"/>
        <v>12</v>
      </c>
      <c r="AC57" s="146">
        <f t="shared" si="142"/>
        <v>12</v>
      </c>
      <c r="AD57" s="146">
        <f t="shared" si="142"/>
        <v>12</v>
      </c>
      <c r="AE57" s="146">
        <f t="shared" si="142"/>
        <v>12</v>
      </c>
      <c r="AF57" s="146">
        <f t="shared" si="142"/>
        <v>12</v>
      </c>
      <c r="AG57" s="146">
        <f t="shared" si="142"/>
        <v>15</v>
      </c>
      <c r="AH57" s="146">
        <f t="shared" si="142"/>
        <v>15</v>
      </c>
      <c r="AI57" s="146">
        <f t="shared" si="142"/>
        <v>15</v>
      </c>
      <c r="AJ57" s="146">
        <f t="shared" si="142"/>
        <v>15</v>
      </c>
      <c r="AK57" s="146">
        <f t="shared" si="142"/>
        <v>15</v>
      </c>
      <c r="AL57" s="146">
        <f t="shared" si="142"/>
        <v>15</v>
      </c>
      <c r="AM57" s="146">
        <f t="shared" si="142"/>
        <v>15</v>
      </c>
      <c r="AN57" s="146">
        <f t="shared" ref="AN57" si="143">AN56*$D57</f>
        <v>18</v>
      </c>
      <c r="AO57" s="146">
        <f t="shared" ref="AO57" si="144">AO56*$D57</f>
        <v>18</v>
      </c>
      <c r="AP57" s="146">
        <f t="shared" ref="AP57" si="145">AP56*$D57</f>
        <v>18</v>
      </c>
      <c r="AQ57" s="146">
        <f t="shared" ref="AQ57" si="146">AQ56*$D57</f>
        <v>18</v>
      </c>
      <c r="AR57" s="146">
        <f t="shared" ref="AR57" si="147">AR56*$D57</f>
        <v>18</v>
      </c>
      <c r="AS57" s="146">
        <f t="shared" ref="AS57" si="148">AS56*$D57</f>
        <v>18</v>
      </c>
      <c r="AT57" s="146">
        <f t="shared" ref="AT57" si="149">AT56*$D57</f>
        <v>18</v>
      </c>
    </row>
    <row r="58" spans="2:46" ht="15.5" thickTop="1" thickBot="1">
      <c r="B58" s="1" t="s">
        <v>141</v>
      </c>
      <c r="C58" s="123" t="s">
        <v>76</v>
      </c>
      <c r="D58" s="138">
        <v>116530.15</v>
      </c>
      <c r="E58" s="147">
        <f>$D58*E56</f>
        <v>116530.15</v>
      </c>
      <c r="F58" s="147">
        <f t="shared" ref="F58:AM58" si="150">$D58*F56</f>
        <v>116530.15</v>
      </c>
      <c r="G58" s="147">
        <f t="shared" si="150"/>
        <v>116530.15</v>
      </c>
      <c r="H58" s="147">
        <f t="shared" si="150"/>
        <v>116530.15</v>
      </c>
      <c r="I58" s="147">
        <f t="shared" si="150"/>
        <v>116530.15</v>
      </c>
      <c r="J58" s="147">
        <f t="shared" si="150"/>
        <v>116530.15</v>
      </c>
      <c r="K58" s="147">
        <f t="shared" si="150"/>
        <v>116530.15</v>
      </c>
      <c r="L58" s="147">
        <f t="shared" si="150"/>
        <v>233060.3</v>
      </c>
      <c r="M58" s="147">
        <f t="shared" si="150"/>
        <v>233060.3</v>
      </c>
      <c r="N58" s="147">
        <f t="shared" si="150"/>
        <v>233060.3</v>
      </c>
      <c r="O58" s="147">
        <f t="shared" si="150"/>
        <v>233060.3</v>
      </c>
      <c r="P58" s="147">
        <f t="shared" si="150"/>
        <v>233060.3</v>
      </c>
      <c r="Q58" s="147">
        <f t="shared" si="150"/>
        <v>233060.3</v>
      </c>
      <c r="R58" s="147">
        <f t="shared" si="150"/>
        <v>233060.3</v>
      </c>
      <c r="S58" s="147">
        <f t="shared" si="150"/>
        <v>349590.44999999995</v>
      </c>
      <c r="T58" s="147">
        <f t="shared" si="150"/>
        <v>349590.44999999995</v>
      </c>
      <c r="U58" s="147">
        <f t="shared" si="150"/>
        <v>349590.44999999995</v>
      </c>
      <c r="V58" s="147">
        <f t="shared" si="150"/>
        <v>349590.44999999995</v>
      </c>
      <c r="W58" s="147">
        <f t="shared" si="150"/>
        <v>349590.44999999995</v>
      </c>
      <c r="X58" s="147">
        <f t="shared" si="150"/>
        <v>349590.44999999995</v>
      </c>
      <c r="Y58" s="147">
        <f t="shared" si="150"/>
        <v>349590.44999999995</v>
      </c>
      <c r="Z58" s="147">
        <f t="shared" si="150"/>
        <v>466120.6</v>
      </c>
      <c r="AA58" s="147">
        <f t="shared" si="150"/>
        <v>466120.6</v>
      </c>
      <c r="AB58" s="147">
        <f t="shared" si="150"/>
        <v>466120.6</v>
      </c>
      <c r="AC58" s="147">
        <f t="shared" si="150"/>
        <v>466120.6</v>
      </c>
      <c r="AD58" s="147">
        <f t="shared" si="150"/>
        <v>466120.6</v>
      </c>
      <c r="AE58" s="147">
        <f t="shared" si="150"/>
        <v>466120.6</v>
      </c>
      <c r="AF58" s="147">
        <f t="shared" si="150"/>
        <v>466120.6</v>
      </c>
      <c r="AG58" s="147">
        <f t="shared" si="150"/>
        <v>582650.75</v>
      </c>
      <c r="AH58" s="147">
        <f t="shared" si="150"/>
        <v>582650.75</v>
      </c>
      <c r="AI58" s="147">
        <f t="shared" si="150"/>
        <v>582650.75</v>
      </c>
      <c r="AJ58" s="147">
        <f t="shared" si="150"/>
        <v>582650.75</v>
      </c>
      <c r="AK58" s="147">
        <f t="shared" si="150"/>
        <v>582650.75</v>
      </c>
      <c r="AL58" s="147">
        <f t="shared" si="150"/>
        <v>582650.75</v>
      </c>
      <c r="AM58" s="147">
        <f t="shared" si="150"/>
        <v>582650.75</v>
      </c>
      <c r="AN58" s="147">
        <f t="shared" ref="AN58" si="151">$D58*AN56</f>
        <v>699180.89999999991</v>
      </c>
      <c r="AO58" s="147">
        <f t="shared" ref="AO58" si="152">$D58*AO56</f>
        <v>699180.89999999991</v>
      </c>
      <c r="AP58" s="147">
        <f t="shared" ref="AP58" si="153">$D58*AP56</f>
        <v>699180.89999999991</v>
      </c>
      <c r="AQ58" s="147">
        <f t="shared" ref="AQ58" si="154">$D58*AQ56</f>
        <v>699180.89999999991</v>
      </c>
      <c r="AR58" s="147">
        <f t="shared" ref="AR58" si="155">$D58*AR56</f>
        <v>699180.89999999991</v>
      </c>
      <c r="AS58" s="147">
        <f t="shared" ref="AS58" si="156">$D58*AS56</f>
        <v>699180.89999999991</v>
      </c>
      <c r="AT58" s="147">
        <f t="shared" ref="AT58" si="157">$D58*AT56</f>
        <v>699180.89999999991</v>
      </c>
    </row>
    <row r="59" spans="2:46" ht="15.5" thickTop="1" thickBot="1">
      <c r="B59" s="1" t="s">
        <v>721</v>
      </c>
      <c r="C59" s="123" t="s">
        <v>76</v>
      </c>
      <c r="D59" s="138">
        <v>10000</v>
      </c>
      <c r="E59" s="147">
        <f>$D59*E56</f>
        <v>10000</v>
      </c>
      <c r="F59" s="147">
        <f t="shared" ref="F59:AM59" si="158">$D59*F56</f>
        <v>10000</v>
      </c>
      <c r="G59" s="147">
        <f t="shared" si="158"/>
        <v>10000</v>
      </c>
      <c r="H59" s="147">
        <f t="shared" si="158"/>
        <v>10000</v>
      </c>
      <c r="I59" s="147">
        <f t="shared" si="158"/>
        <v>10000</v>
      </c>
      <c r="J59" s="147">
        <f t="shared" si="158"/>
        <v>10000</v>
      </c>
      <c r="K59" s="147">
        <f t="shared" si="158"/>
        <v>10000</v>
      </c>
      <c r="L59" s="147">
        <f t="shared" si="158"/>
        <v>20000</v>
      </c>
      <c r="M59" s="147">
        <f t="shared" si="158"/>
        <v>20000</v>
      </c>
      <c r="N59" s="147">
        <f t="shared" si="158"/>
        <v>20000</v>
      </c>
      <c r="O59" s="147">
        <f t="shared" si="158"/>
        <v>20000</v>
      </c>
      <c r="P59" s="147">
        <f t="shared" si="158"/>
        <v>20000</v>
      </c>
      <c r="Q59" s="147">
        <f t="shared" si="158"/>
        <v>20000</v>
      </c>
      <c r="R59" s="147">
        <f t="shared" si="158"/>
        <v>20000</v>
      </c>
      <c r="S59" s="147">
        <f t="shared" si="158"/>
        <v>30000</v>
      </c>
      <c r="T59" s="147">
        <f t="shared" si="158"/>
        <v>30000</v>
      </c>
      <c r="U59" s="147">
        <f t="shared" si="158"/>
        <v>30000</v>
      </c>
      <c r="V59" s="147">
        <f t="shared" si="158"/>
        <v>30000</v>
      </c>
      <c r="W59" s="147">
        <f t="shared" si="158"/>
        <v>30000</v>
      </c>
      <c r="X59" s="147">
        <f t="shared" si="158"/>
        <v>30000</v>
      </c>
      <c r="Y59" s="147">
        <f t="shared" si="158"/>
        <v>30000</v>
      </c>
      <c r="Z59" s="147">
        <f t="shared" si="158"/>
        <v>40000</v>
      </c>
      <c r="AA59" s="147">
        <f t="shared" si="158"/>
        <v>40000</v>
      </c>
      <c r="AB59" s="147">
        <f t="shared" si="158"/>
        <v>40000</v>
      </c>
      <c r="AC59" s="147">
        <f t="shared" si="158"/>
        <v>40000</v>
      </c>
      <c r="AD59" s="147">
        <f t="shared" si="158"/>
        <v>40000</v>
      </c>
      <c r="AE59" s="147">
        <f t="shared" si="158"/>
        <v>40000</v>
      </c>
      <c r="AF59" s="147">
        <f t="shared" si="158"/>
        <v>40000</v>
      </c>
      <c r="AG59" s="147">
        <f t="shared" si="158"/>
        <v>50000</v>
      </c>
      <c r="AH59" s="147">
        <f t="shared" si="158"/>
        <v>50000</v>
      </c>
      <c r="AI59" s="147">
        <f t="shared" si="158"/>
        <v>50000</v>
      </c>
      <c r="AJ59" s="147">
        <f t="shared" si="158"/>
        <v>50000</v>
      </c>
      <c r="AK59" s="147">
        <f t="shared" si="158"/>
        <v>50000</v>
      </c>
      <c r="AL59" s="147">
        <f t="shared" si="158"/>
        <v>50000</v>
      </c>
      <c r="AM59" s="147">
        <f t="shared" si="158"/>
        <v>50000</v>
      </c>
      <c r="AN59" s="147">
        <f t="shared" ref="AN59:AT59" si="159">$D59*AN56</f>
        <v>60000</v>
      </c>
      <c r="AO59" s="147">
        <f t="shared" si="159"/>
        <v>60000</v>
      </c>
      <c r="AP59" s="147">
        <f t="shared" si="159"/>
        <v>60000</v>
      </c>
      <c r="AQ59" s="147">
        <f t="shared" si="159"/>
        <v>60000</v>
      </c>
      <c r="AR59" s="147">
        <f t="shared" si="159"/>
        <v>60000</v>
      </c>
      <c r="AS59" s="147">
        <f t="shared" si="159"/>
        <v>60000</v>
      </c>
      <c r="AT59" s="147">
        <f t="shared" si="159"/>
        <v>60000</v>
      </c>
    </row>
    <row r="60" spans="2:46" ht="15" thickTop="1">
      <c r="B60" s="140" t="s">
        <v>45</v>
      </c>
      <c r="C60" s="123" t="s">
        <v>76</v>
      </c>
      <c r="D60" s="123"/>
      <c r="E60" s="2">
        <f>E58+E59</f>
        <v>126530.15</v>
      </c>
      <c r="F60" s="2">
        <f t="shared" ref="F60:AM60" si="160">F58+F59</f>
        <v>126530.15</v>
      </c>
      <c r="G60" s="2">
        <f t="shared" si="160"/>
        <v>126530.15</v>
      </c>
      <c r="H60" s="2">
        <f t="shared" si="160"/>
        <v>126530.15</v>
      </c>
      <c r="I60" s="2">
        <f t="shared" si="160"/>
        <v>126530.15</v>
      </c>
      <c r="J60" s="2">
        <f t="shared" si="160"/>
        <v>126530.15</v>
      </c>
      <c r="K60" s="2">
        <f t="shared" si="160"/>
        <v>126530.15</v>
      </c>
      <c r="L60" s="2">
        <f t="shared" si="160"/>
        <v>253060.3</v>
      </c>
      <c r="M60" s="2">
        <f t="shared" si="160"/>
        <v>253060.3</v>
      </c>
      <c r="N60" s="2">
        <f t="shared" si="160"/>
        <v>253060.3</v>
      </c>
      <c r="O60" s="2">
        <f t="shared" si="160"/>
        <v>253060.3</v>
      </c>
      <c r="P60" s="2">
        <f t="shared" si="160"/>
        <v>253060.3</v>
      </c>
      <c r="Q60" s="2">
        <f t="shared" si="160"/>
        <v>253060.3</v>
      </c>
      <c r="R60" s="2">
        <f t="shared" si="160"/>
        <v>253060.3</v>
      </c>
      <c r="S60" s="2">
        <f t="shared" si="160"/>
        <v>379590.44999999995</v>
      </c>
      <c r="T60" s="2">
        <f t="shared" si="160"/>
        <v>379590.44999999995</v>
      </c>
      <c r="U60" s="2">
        <f t="shared" si="160"/>
        <v>379590.44999999995</v>
      </c>
      <c r="V60" s="2">
        <f t="shared" si="160"/>
        <v>379590.44999999995</v>
      </c>
      <c r="W60" s="2">
        <f t="shared" si="160"/>
        <v>379590.44999999995</v>
      </c>
      <c r="X60" s="2">
        <f t="shared" si="160"/>
        <v>379590.44999999995</v>
      </c>
      <c r="Y60" s="2">
        <f t="shared" si="160"/>
        <v>379590.44999999995</v>
      </c>
      <c r="Z60" s="2">
        <f t="shared" si="160"/>
        <v>506120.6</v>
      </c>
      <c r="AA60" s="2">
        <f t="shared" si="160"/>
        <v>506120.6</v>
      </c>
      <c r="AB60" s="2">
        <f t="shared" si="160"/>
        <v>506120.6</v>
      </c>
      <c r="AC60" s="2">
        <f t="shared" si="160"/>
        <v>506120.6</v>
      </c>
      <c r="AD60" s="2">
        <f t="shared" si="160"/>
        <v>506120.6</v>
      </c>
      <c r="AE60" s="2">
        <f t="shared" si="160"/>
        <v>506120.6</v>
      </c>
      <c r="AF60" s="2">
        <f t="shared" si="160"/>
        <v>506120.6</v>
      </c>
      <c r="AG60" s="2">
        <f t="shared" si="160"/>
        <v>632650.75</v>
      </c>
      <c r="AH60" s="2">
        <f t="shared" si="160"/>
        <v>632650.75</v>
      </c>
      <c r="AI60" s="2">
        <f t="shared" si="160"/>
        <v>632650.75</v>
      </c>
      <c r="AJ60" s="2">
        <f t="shared" si="160"/>
        <v>632650.75</v>
      </c>
      <c r="AK60" s="2">
        <f t="shared" si="160"/>
        <v>632650.75</v>
      </c>
      <c r="AL60" s="2">
        <f t="shared" si="160"/>
        <v>632650.75</v>
      </c>
      <c r="AM60" s="2">
        <f t="shared" si="160"/>
        <v>632650.75</v>
      </c>
      <c r="AN60" s="2">
        <f t="shared" ref="AN60" si="161">AN58+AN59</f>
        <v>759180.89999999991</v>
      </c>
      <c r="AO60" s="2">
        <f t="shared" ref="AO60" si="162">AO58+AO59</f>
        <v>759180.89999999991</v>
      </c>
      <c r="AP60" s="2">
        <f t="shared" ref="AP60" si="163">AP58+AP59</f>
        <v>759180.89999999991</v>
      </c>
      <c r="AQ60" s="2">
        <f t="shared" ref="AQ60" si="164">AQ58+AQ59</f>
        <v>759180.89999999991</v>
      </c>
      <c r="AR60" s="2">
        <f t="shared" ref="AR60" si="165">AR58+AR59</f>
        <v>759180.89999999991</v>
      </c>
      <c r="AS60" s="2">
        <f t="shared" ref="AS60" si="166">AS58+AS59</f>
        <v>759180.89999999991</v>
      </c>
      <c r="AT60" s="2">
        <f t="shared" ref="AT60" si="167">AT58+AT59</f>
        <v>759180.89999999991</v>
      </c>
    </row>
    <row r="61" spans="2:46">
      <c r="B61" s="140"/>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row>
    <row r="62" spans="2:46">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row>
    <row r="63" spans="2:46" ht="15" thickBot="1">
      <c r="B63" s="148" t="s">
        <v>290</v>
      </c>
      <c r="C63" s="123" t="s">
        <v>143</v>
      </c>
      <c r="D63" s="149">
        <v>25000</v>
      </c>
      <c r="E63" s="150">
        <v>1</v>
      </c>
      <c r="F63" s="150">
        <f>E63</f>
        <v>1</v>
      </c>
      <c r="G63" s="150">
        <f t="shared" ref="G63:P63" si="168">F63</f>
        <v>1</v>
      </c>
      <c r="H63" s="150">
        <f t="shared" si="168"/>
        <v>1</v>
      </c>
      <c r="I63" s="150">
        <f t="shared" si="168"/>
        <v>1</v>
      </c>
      <c r="J63" s="150">
        <f t="shared" si="168"/>
        <v>1</v>
      </c>
      <c r="K63" s="150">
        <f t="shared" si="168"/>
        <v>1</v>
      </c>
      <c r="L63" s="150">
        <f t="shared" si="168"/>
        <v>1</v>
      </c>
      <c r="M63" s="150">
        <f t="shared" si="168"/>
        <v>1</v>
      </c>
      <c r="N63" s="150">
        <f t="shared" si="168"/>
        <v>1</v>
      </c>
      <c r="O63" s="150">
        <f t="shared" si="168"/>
        <v>1</v>
      </c>
      <c r="P63" s="150">
        <f t="shared" si="168"/>
        <v>1</v>
      </c>
      <c r="Q63" s="150">
        <v>1</v>
      </c>
      <c r="R63" s="150">
        <f>Q63</f>
        <v>1</v>
      </c>
      <c r="S63" s="150">
        <f t="shared" ref="S63" si="169">R63</f>
        <v>1</v>
      </c>
      <c r="T63" s="150">
        <f t="shared" ref="T63" si="170">S63</f>
        <v>1</v>
      </c>
      <c r="U63" s="150">
        <f t="shared" ref="U63" si="171">T63</f>
        <v>1</v>
      </c>
      <c r="V63" s="150">
        <f t="shared" ref="V63" si="172">U63</f>
        <v>1</v>
      </c>
      <c r="W63" s="150">
        <f t="shared" ref="W63" si="173">V63</f>
        <v>1</v>
      </c>
      <c r="X63" s="150">
        <f t="shared" ref="X63" si="174">W63</f>
        <v>1</v>
      </c>
      <c r="Y63" s="150">
        <f t="shared" ref="Y63" si="175">X63</f>
        <v>1</v>
      </c>
      <c r="Z63" s="150">
        <f t="shared" ref="Z63" si="176">Y63</f>
        <v>1</v>
      </c>
      <c r="AA63" s="150">
        <f t="shared" ref="AA63" si="177">Z63</f>
        <v>1</v>
      </c>
      <c r="AB63" s="150">
        <f t="shared" ref="AB63" si="178">AA63</f>
        <v>1</v>
      </c>
      <c r="AC63" s="150">
        <v>1</v>
      </c>
      <c r="AD63" s="150">
        <f>AC63</f>
        <v>1</v>
      </c>
      <c r="AE63" s="150">
        <f t="shared" ref="AE63" si="179">AD63</f>
        <v>1</v>
      </c>
      <c r="AF63" s="150">
        <f t="shared" ref="AF63" si="180">AE63</f>
        <v>1</v>
      </c>
      <c r="AG63" s="150">
        <f t="shared" ref="AG63" si="181">AF63</f>
        <v>1</v>
      </c>
      <c r="AH63" s="150">
        <f t="shared" ref="AH63" si="182">AG63</f>
        <v>1</v>
      </c>
      <c r="AI63" s="150">
        <f t="shared" ref="AI63" si="183">AH63</f>
        <v>1</v>
      </c>
      <c r="AJ63" s="150">
        <f t="shared" ref="AJ63" si="184">AI63</f>
        <v>1</v>
      </c>
      <c r="AK63" s="150">
        <f t="shared" ref="AK63" si="185">AJ63</f>
        <v>1</v>
      </c>
      <c r="AL63" s="150">
        <f t="shared" ref="AL63" si="186">AK63</f>
        <v>1</v>
      </c>
      <c r="AM63" s="150">
        <f t="shared" ref="AM63" si="187">AL63</f>
        <v>1</v>
      </c>
      <c r="AN63" s="150">
        <f t="shared" ref="AN63" si="188">AM63</f>
        <v>1</v>
      </c>
      <c r="AO63" s="150">
        <f t="shared" ref="AO63" si="189">AN63</f>
        <v>1</v>
      </c>
      <c r="AP63" s="150">
        <f t="shared" ref="AP63" si="190">AO63</f>
        <v>1</v>
      </c>
      <c r="AQ63" s="150">
        <f t="shared" ref="AQ63" si="191">AP63</f>
        <v>1</v>
      </c>
      <c r="AR63" s="150">
        <f t="shared" ref="AR63" si="192">AQ63</f>
        <v>1</v>
      </c>
      <c r="AS63" s="150">
        <f t="shared" ref="AS63" si="193">AR63</f>
        <v>1</v>
      </c>
      <c r="AT63" s="150">
        <f t="shared" ref="AT63" si="194">AS63</f>
        <v>1</v>
      </c>
    </row>
    <row r="64" spans="2:46" ht="15" thickTop="1">
      <c r="B64" s="140" t="s">
        <v>45</v>
      </c>
      <c r="C64" s="123" t="s">
        <v>76</v>
      </c>
      <c r="D64" s="123"/>
      <c r="E64" s="2">
        <f t="shared" ref="E64:P64" si="195">SUMPRODUCT(E63:E63,$D63:$D63)</f>
        <v>25000</v>
      </c>
      <c r="F64" s="2">
        <f t="shared" si="195"/>
        <v>25000</v>
      </c>
      <c r="G64" s="2">
        <f t="shared" si="195"/>
        <v>25000</v>
      </c>
      <c r="H64" s="2">
        <f t="shared" si="195"/>
        <v>25000</v>
      </c>
      <c r="I64" s="2">
        <f t="shared" si="195"/>
        <v>25000</v>
      </c>
      <c r="J64" s="2">
        <f t="shared" si="195"/>
        <v>25000</v>
      </c>
      <c r="K64" s="2">
        <f t="shared" si="195"/>
        <v>25000</v>
      </c>
      <c r="L64" s="2">
        <f t="shared" si="195"/>
        <v>25000</v>
      </c>
      <c r="M64" s="2">
        <f t="shared" si="195"/>
        <v>25000</v>
      </c>
      <c r="N64" s="2">
        <f t="shared" si="195"/>
        <v>25000</v>
      </c>
      <c r="O64" s="2">
        <f t="shared" si="195"/>
        <v>25000</v>
      </c>
      <c r="P64" s="2">
        <f t="shared" si="195"/>
        <v>25000</v>
      </c>
      <c r="Q64" s="2">
        <f t="shared" ref="Q64:AM64" si="196">SUMPRODUCT(Q63:Q63,$D63:$D63)</f>
        <v>25000</v>
      </c>
      <c r="R64" s="2">
        <f t="shared" si="196"/>
        <v>25000</v>
      </c>
      <c r="S64" s="2">
        <f t="shared" si="196"/>
        <v>25000</v>
      </c>
      <c r="T64" s="2">
        <f t="shared" si="196"/>
        <v>25000</v>
      </c>
      <c r="U64" s="2">
        <f t="shared" si="196"/>
        <v>25000</v>
      </c>
      <c r="V64" s="2">
        <f t="shared" si="196"/>
        <v>25000</v>
      </c>
      <c r="W64" s="2">
        <f t="shared" si="196"/>
        <v>25000</v>
      </c>
      <c r="X64" s="2">
        <f t="shared" si="196"/>
        <v>25000</v>
      </c>
      <c r="Y64" s="2">
        <f t="shared" si="196"/>
        <v>25000</v>
      </c>
      <c r="Z64" s="2">
        <f t="shared" si="196"/>
        <v>25000</v>
      </c>
      <c r="AA64" s="2">
        <f t="shared" si="196"/>
        <v>25000</v>
      </c>
      <c r="AB64" s="2">
        <f t="shared" si="196"/>
        <v>25000</v>
      </c>
      <c r="AC64" s="2">
        <f t="shared" si="196"/>
        <v>25000</v>
      </c>
      <c r="AD64" s="2">
        <f t="shared" si="196"/>
        <v>25000</v>
      </c>
      <c r="AE64" s="2">
        <f t="shared" si="196"/>
        <v>25000</v>
      </c>
      <c r="AF64" s="2">
        <f t="shared" si="196"/>
        <v>25000</v>
      </c>
      <c r="AG64" s="2">
        <f t="shared" si="196"/>
        <v>25000</v>
      </c>
      <c r="AH64" s="2">
        <f t="shared" si="196"/>
        <v>25000</v>
      </c>
      <c r="AI64" s="2">
        <f t="shared" si="196"/>
        <v>25000</v>
      </c>
      <c r="AJ64" s="2">
        <f t="shared" si="196"/>
        <v>25000</v>
      </c>
      <c r="AK64" s="2">
        <f t="shared" si="196"/>
        <v>25000</v>
      </c>
      <c r="AL64" s="2">
        <f t="shared" si="196"/>
        <v>25000</v>
      </c>
      <c r="AM64" s="2">
        <f t="shared" si="196"/>
        <v>25000</v>
      </c>
      <c r="AN64" s="2">
        <f t="shared" ref="AN64:AT64" si="197">SUMPRODUCT(AN63:AN63,$D63:$D63)</f>
        <v>25000</v>
      </c>
      <c r="AO64" s="2">
        <f t="shared" si="197"/>
        <v>25000</v>
      </c>
      <c r="AP64" s="2">
        <f t="shared" si="197"/>
        <v>25000</v>
      </c>
      <c r="AQ64" s="2">
        <f t="shared" si="197"/>
        <v>25000</v>
      </c>
      <c r="AR64" s="2">
        <f t="shared" si="197"/>
        <v>25000</v>
      </c>
      <c r="AS64" s="2">
        <f t="shared" si="197"/>
        <v>25000</v>
      </c>
      <c r="AT64" s="2">
        <f t="shared" si="197"/>
        <v>25000</v>
      </c>
    </row>
    <row r="65" spans="2:46">
      <c r="B65" s="123"/>
      <c r="C65" s="123"/>
      <c r="D65" s="123"/>
    </row>
    <row r="66" spans="2:46">
      <c r="B66" s="7" t="s">
        <v>144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row>
    <row r="67" spans="2:46">
      <c r="B67" s="1" t="s">
        <v>145</v>
      </c>
      <c r="C67" s="123" t="s">
        <v>140</v>
      </c>
      <c r="D67" s="123"/>
      <c r="E67" s="144">
        <f>E37+E47+E52+E57+E63</f>
        <v>4.5047197551196598</v>
      </c>
      <c r="F67" s="144">
        <f t="shared" ref="F67:AM67" si="198">F37+F47+F52+F57+F63</f>
        <v>5.3141592653589793</v>
      </c>
      <c r="G67" s="144">
        <f t="shared" si="198"/>
        <v>6.4283185307179593</v>
      </c>
      <c r="H67" s="144">
        <f t="shared" si="198"/>
        <v>7.8471975511965981</v>
      </c>
      <c r="I67" s="144">
        <f t="shared" si="198"/>
        <v>9.2660765716752369</v>
      </c>
      <c r="J67" s="144">
        <f t="shared" si="198"/>
        <v>10.684955592153877</v>
      </c>
      <c r="K67" s="144">
        <f t="shared" si="198"/>
        <v>12.103834612632516</v>
      </c>
      <c r="L67" s="144">
        <f t="shared" si="198"/>
        <v>7.5047197551196598</v>
      </c>
      <c r="M67" s="144">
        <f t="shared" si="198"/>
        <v>8.3141592653589793</v>
      </c>
      <c r="N67" s="144">
        <f t="shared" si="198"/>
        <v>9.4283185307179593</v>
      </c>
      <c r="O67" s="144">
        <f t="shared" si="198"/>
        <v>10.847197551196597</v>
      </c>
      <c r="P67" s="144">
        <f t="shared" si="198"/>
        <v>12.266076571675237</v>
      </c>
      <c r="Q67" s="144">
        <f t="shared" si="198"/>
        <v>13.684955592153877</v>
      </c>
      <c r="R67" s="144">
        <f t="shared" si="198"/>
        <v>15.103834612632516</v>
      </c>
      <c r="S67" s="144">
        <f t="shared" si="198"/>
        <v>10.504719755119659</v>
      </c>
      <c r="T67" s="144">
        <f t="shared" si="198"/>
        <v>11.314159265358979</v>
      </c>
      <c r="U67" s="144">
        <f t="shared" si="198"/>
        <v>12.428318530717959</v>
      </c>
      <c r="V67" s="144">
        <f t="shared" si="198"/>
        <v>13.847197551196597</v>
      </c>
      <c r="W67" s="144">
        <f t="shared" si="198"/>
        <v>15.266076571675237</v>
      </c>
      <c r="X67" s="144">
        <f t="shared" si="198"/>
        <v>16.684955592153877</v>
      </c>
      <c r="Y67" s="144">
        <f t="shared" si="198"/>
        <v>18.103834612632518</v>
      </c>
      <c r="Z67" s="144">
        <f t="shared" si="198"/>
        <v>13.504719755119659</v>
      </c>
      <c r="AA67" s="144">
        <f t="shared" si="198"/>
        <v>14.314159265358979</v>
      </c>
      <c r="AB67" s="144">
        <f t="shared" si="198"/>
        <v>15.428318530717959</v>
      </c>
      <c r="AC67" s="144">
        <f t="shared" si="198"/>
        <v>16.847197551196597</v>
      </c>
      <c r="AD67" s="144">
        <f t="shared" si="198"/>
        <v>18.266076571675235</v>
      </c>
      <c r="AE67" s="144">
        <f t="shared" si="198"/>
        <v>19.684955592153877</v>
      </c>
      <c r="AF67" s="144">
        <f t="shared" si="198"/>
        <v>21.103834612632518</v>
      </c>
      <c r="AG67" s="144">
        <f t="shared" si="198"/>
        <v>16.504719755119659</v>
      </c>
      <c r="AH67" s="144">
        <f t="shared" si="198"/>
        <v>17.314159265358981</v>
      </c>
      <c r="AI67" s="144">
        <f t="shared" si="198"/>
        <v>18.428318530717959</v>
      </c>
      <c r="AJ67" s="144">
        <f t="shared" si="198"/>
        <v>19.847197551196597</v>
      </c>
      <c r="AK67" s="144">
        <f t="shared" si="198"/>
        <v>21.266076571675235</v>
      </c>
      <c r="AL67" s="144">
        <f t="shared" si="198"/>
        <v>22.684955592153877</v>
      </c>
      <c r="AM67" s="144">
        <f t="shared" si="198"/>
        <v>24.103834612632518</v>
      </c>
      <c r="AN67" s="144">
        <f t="shared" ref="AN67:AT67" si="199">AN37+AN47+AN52+AN57+AN63</f>
        <v>19.504719755119659</v>
      </c>
      <c r="AO67" s="144">
        <f t="shared" si="199"/>
        <v>20.314159265358981</v>
      </c>
      <c r="AP67" s="144">
        <f t="shared" si="199"/>
        <v>21.428318530717959</v>
      </c>
      <c r="AQ67" s="144">
        <f t="shared" si="199"/>
        <v>22.847197551196597</v>
      </c>
      <c r="AR67" s="144">
        <f t="shared" si="199"/>
        <v>24.266076571675235</v>
      </c>
      <c r="AS67" s="144">
        <f t="shared" si="199"/>
        <v>25.684955592153877</v>
      </c>
      <c r="AT67" s="144">
        <f t="shared" si="199"/>
        <v>27.103834612632518</v>
      </c>
    </row>
    <row r="68" spans="2:46" ht="15" thickBot="1">
      <c r="B68" s="1" t="s">
        <v>288</v>
      </c>
      <c r="C68" s="123" t="s">
        <v>76</v>
      </c>
      <c r="D68" s="149">
        <v>450</v>
      </c>
      <c r="E68" s="151">
        <f>$D68*E67</f>
        <v>2027.1238898038469</v>
      </c>
      <c r="F68" s="151">
        <f t="shared" ref="F68:AM68" si="200">$D68*F67</f>
        <v>2391.3716694115406</v>
      </c>
      <c r="G68" s="151">
        <f t="shared" si="200"/>
        <v>2892.7433388230816</v>
      </c>
      <c r="H68" s="151">
        <f t="shared" si="200"/>
        <v>3531.238898038469</v>
      </c>
      <c r="I68" s="151">
        <f t="shared" si="200"/>
        <v>4169.7344572538568</v>
      </c>
      <c r="J68" s="151">
        <f t="shared" si="200"/>
        <v>4808.2300164692442</v>
      </c>
      <c r="K68" s="151">
        <f t="shared" si="200"/>
        <v>5446.7255756846325</v>
      </c>
      <c r="L68" s="151">
        <f t="shared" si="200"/>
        <v>3377.1238898038469</v>
      </c>
      <c r="M68" s="151">
        <f t="shared" si="200"/>
        <v>3741.3716694115406</v>
      </c>
      <c r="N68" s="151">
        <f t="shared" si="200"/>
        <v>4242.743338823082</v>
      </c>
      <c r="O68" s="151">
        <f t="shared" si="200"/>
        <v>4881.2388980384685</v>
      </c>
      <c r="P68" s="151">
        <f t="shared" si="200"/>
        <v>5519.7344572538568</v>
      </c>
      <c r="Q68" s="151">
        <f t="shared" si="200"/>
        <v>6158.2300164692442</v>
      </c>
      <c r="R68" s="151">
        <f t="shared" si="200"/>
        <v>6796.7255756846325</v>
      </c>
      <c r="S68" s="151">
        <f t="shared" si="200"/>
        <v>4727.1238898038464</v>
      </c>
      <c r="T68" s="151">
        <f t="shared" si="200"/>
        <v>5091.371669411541</v>
      </c>
      <c r="U68" s="151">
        <f t="shared" si="200"/>
        <v>5592.743338823082</v>
      </c>
      <c r="V68" s="151">
        <f t="shared" si="200"/>
        <v>6231.2388980384685</v>
      </c>
      <c r="W68" s="151">
        <f t="shared" si="200"/>
        <v>6869.7344572538568</v>
      </c>
      <c r="X68" s="151">
        <f t="shared" si="200"/>
        <v>7508.2300164692442</v>
      </c>
      <c r="Y68" s="151">
        <f t="shared" si="200"/>
        <v>8146.7255756846334</v>
      </c>
      <c r="Z68" s="151">
        <f t="shared" si="200"/>
        <v>6077.1238898038464</v>
      </c>
      <c r="AA68" s="151">
        <f t="shared" si="200"/>
        <v>6441.371669411541</v>
      </c>
      <c r="AB68" s="151">
        <f t="shared" si="200"/>
        <v>6942.743338823082</v>
      </c>
      <c r="AC68" s="151">
        <f t="shared" si="200"/>
        <v>7581.2388980384685</v>
      </c>
      <c r="AD68" s="151">
        <f t="shared" si="200"/>
        <v>8219.734457253855</v>
      </c>
      <c r="AE68" s="151">
        <f t="shared" si="200"/>
        <v>8858.2300164692442</v>
      </c>
      <c r="AF68" s="151">
        <f t="shared" si="200"/>
        <v>9496.7255756846334</v>
      </c>
      <c r="AG68" s="151">
        <f t="shared" si="200"/>
        <v>7427.1238898038464</v>
      </c>
      <c r="AH68" s="151">
        <f t="shared" si="200"/>
        <v>7791.3716694115419</v>
      </c>
      <c r="AI68" s="151">
        <f t="shared" si="200"/>
        <v>8292.743338823082</v>
      </c>
      <c r="AJ68" s="151">
        <f t="shared" si="200"/>
        <v>8931.2388980384694</v>
      </c>
      <c r="AK68" s="151">
        <f t="shared" si="200"/>
        <v>9569.734457253855</v>
      </c>
      <c r="AL68" s="151">
        <f t="shared" si="200"/>
        <v>10208.230016469244</v>
      </c>
      <c r="AM68" s="151">
        <f t="shared" si="200"/>
        <v>10846.725575684633</v>
      </c>
      <c r="AN68" s="151">
        <f t="shared" ref="AN68" si="201">$D68*AN67</f>
        <v>8777.1238898038464</v>
      </c>
      <c r="AO68" s="151">
        <f t="shared" ref="AO68" si="202">$D68*AO67</f>
        <v>9141.371669411541</v>
      </c>
      <c r="AP68" s="151">
        <f t="shared" ref="AP68" si="203">$D68*AP67</f>
        <v>9642.743338823082</v>
      </c>
      <c r="AQ68" s="151">
        <f t="shared" ref="AQ68" si="204">$D68*AQ67</f>
        <v>10281.238898038469</v>
      </c>
      <c r="AR68" s="151">
        <f t="shared" ref="AR68" si="205">$D68*AR67</f>
        <v>10919.734457253855</v>
      </c>
      <c r="AS68" s="151">
        <f t="shared" ref="AS68" si="206">$D68*AS67</f>
        <v>11558.230016469244</v>
      </c>
      <c r="AT68" s="151">
        <f t="shared" ref="AT68" si="207">$D68*AT67</f>
        <v>12196.725575684633</v>
      </c>
    </row>
    <row r="69" spans="2:46" ht="15" thickTop="1">
      <c r="B69" s="140" t="s">
        <v>45</v>
      </c>
      <c r="C69" s="123" t="s">
        <v>76</v>
      </c>
      <c r="D69" s="123"/>
      <c r="E69" s="2">
        <f>E68</f>
        <v>2027.1238898038469</v>
      </c>
      <c r="F69" s="2">
        <f t="shared" ref="F69:N69" si="208">F68</f>
        <v>2391.3716694115406</v>
      </c>
      <c r="G69" s="2">
        <f t="shared" si="208"/>
        <v>2892.7433388230816</v>
      </c>
      <c r="H69" s="2">
        <f t="shared" si="208"/>
        <v>3531.238898038469</v>
      </c>
      <c r="I69" s="2">
        <f t="shared" si="208"/>
        <v>4169.7344572538568</v>
      </c>
      <c r="J69" s="2">
        <f t="shared" si="208"/>
        <v>4808.2300164692442</v>
      </c>
      <c r="K69" s="2">
        <f t="shared" si="208"/>
        <v>5446.7255756846325</v>
      </c>
      <c r="L69" s="2">
        <f t="shared" si="208"/>
        <v>3377.1238898038469</v>
      </c>
      <c r="M69" s="2">
        <f t="shared" si="208"/>
        <v>3741.3716694115406</v>
      </c>
      <c r="N69" s="2">
        <f t="shared" si="208"/>
        <v>4242.743338823082</v>
      </c>
      <c r="O69" s="2">
        <f t="shared" ref="O69" si="209">O68</f>
        <v>4881.2388980384685</v>
      </c>
      <c r="P69" s="2">
        <f t="shared" ref="P69" si="210">P68</f>
        <v>5519.7344572538568</v>
      </c>
      <c r="Q69" s="2">
        <f t="shared" ref="Q69" si="211">Q68</f>
        <v>6158.2300164692442</v>
      </c>
      <c r="R69" s="2">
        <f t="shared" ref="R69" si="212">R68</f>
        <v>6796.7255756846325</v>
      </c>
      <c r="S69" s="2">
        <f t="shared" ref="S69" si="213">S68</f>
        <v>4727.1238898038464</v>
      </c>
      <c r="T69" s="2">
        <f t="shared" ref="T69" si="214">T68</f>
        <v>5091.371669411541</v>
      </c>
      <c r="U69" s="2">
        <f t="shared" ref="U69" si="215">U68</f>
        <v>5592.743338823082</v>
      </c>
      <c r="V69" s="2">
        <f t="shared" ref="V69:W69" si="216">V68</f>
        <v>6231.2388980384685</v>
      </c>
      <c r="W69" s="2">
        <f t="shared" si="216"/>
        <v>6869.7344572538568</v>
      </c>
      <c r="X69" s="2">
        <f t="shared" ref="X69" si="217">X68</f>
        <v>7508.2300164692442</v>
      </c>
      <c r="Y69" s="2">
        <f t="shared" ref="Y69" si="218">Y68</f>
        <v>8146.7255756846334</v>
      </c>
      <c r="Z69" s="2">
        <f t="shared" ref="Z69" si="219">Z68</f>
        <v>6077.1238898038464</v>
      </c>
      <c r="AA69" s="2">
        <f t="shared" ref="AA69" si="220">AA68</f>
        <v>6441.371669411541</v>
      </c>
      <c r="AB69" s="2">
        <f t="shared" ref="AB69" si="221">AB68</f>
        <v>6942.743338823082</v>
      </c>
      <c r="AC69" s="2">
        <f t="shared" ref="AC69" si="222">AC68</f>
        <v>7581.2388980384685</v>
      </c>
      <c r="AD69" s="2">
        <f t="shared" ref="AD69" si="223">AD68</f>
        <v>8219.734457253855</v>
      </c>
      <c r="AE69" s="2">
        <f t="shared" ref="AE69:AF69" si="224">AE68</f>
        <v>8858.2300164692442</v>
      </c>
      <c r="AF69" s="2">
        <f t="shared" si="224"/>
        <v>9496.7255756846334</v>
      </c>
      <c r="AG69" s="2">
        <f t="shared" ref="AG69" si="225">AG68</f>
        <v>7427.1238898038464</v>
      </c>
      <c r="AH69" s="2">
        <f t="shared" ref="AH69" si="226">AH68</f>
        <v>7791.3716694115419</v>
      </c>
      <c r="AI69" s="2">
        <f t="shared" ref="AI69" si="227">AI68</f>
        <v>8292.743338823082</v>
      </c>
      <c r="AJ69" s="2">
        <f t="shared" ref="AJ69" si="228">AJ68</f>
        <v>8931.2388980384694</v>
      </c>
      <c r="AK69" s="2">
        <f t="shared" ref="AK69" si="229">AK68</f>
        <v>9569.734457253855</v>
      </c>
      <c r="AL69" s="2">
        <f t="shared" ref="AL69" si="230">AL68</f>
        <v>10208.230016469244</v>
      </c>
      <c r="AM69" s="2">
        <f t="shared" ref="AM69" si="231">AM68</f>
        <v>10846.725575684633</v>
      </c>
      <c r="AN69" s="2">
        <f t="shared" ref="AN69" si="232">AN68</f>
        <v>8777.1238898038464</v>
      </c>
      <c r="AO69" s="2">
        <f t="shared" ref="AO69" si="233">AO68</f>
        <v>9141.371669411541</v>
      </c>
      <c r="AP69" s="2">
        <f t="shared" ref="AP69" si="234">AP68</f>
        <v>9642.743338823082</v>
      </c>
      <c r="AQ69" s="2">
        <f t="shared" ref="AQ69" si="235">AQ68</f>
        <v>10281.238898038469</v>
      </c>
      <c r="AR69" s="2">
        <f t="shared" ref="AR69" si="236">AR68</f>
        <v>10919.734457253855</v>
      </c>
      <c r="AS69" s="2">
        <f t="shared" ref="AS69" si="237">AS68</f>
        <v>11558.230016469244</v>
      </c>
      <c r="AT69" s="2">
        <f t="shared" ref="AT69" si="238">AT68</f>
        <v>12196.725575684633</v>
      </c>
    </row>
    <row r="70" spans="2:46">
      <c r="B70" s="123"/>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row>
    <row r="71" spans="2:46">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row>
  </sheetData>
  <sheetProtection algorithmName="SHA-512" hashValue="eAB6oH/82Ct7Pzwq3xGUTfX4/sC7/3yG9bkhKEoOjGM5a5Q0y0u0YpnqOt8y7SVIb0E/ceiu2ZKwf2rnO85QIA==" saltValue="uY7t6e7WS4GW1VPD6mHl5A==" spinCount="100000" sheet="1" objects="1" scenarios="1" autoFilter="0"/>
  <phoneticPr fontId="7" type="noConversion"/>
  <hyperlinks>
    <hyperlink ref="B3" location="Information" display="Return to Information" xr:uid="{7DD3E55B-F6E0-412E-AEDE-BF154F77DE1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252E8-2A85-471B-ACF6-7E0A7E57FDA6}">
  <sheetPr codeName="Sheet7">
    <tabColor theme="5" tint="0.39997558519241921"/>
  </sheetPr>
  <dimension ref="A2:G125"/>
  <sheetViews>
    <sheetView showGridLines="0" zoomScaleNormal="100" workbookViewId="0">
      <pane ySplit="7" topLeftCell="A8" activePane="bottomLeft" state="frozen"/>
      <selection pane="bottomLeft"/>
    </sheetView>
  </sheetViews>
  <sheetFormatPr defaultColWidth="8.7265625" defaultRowHeight="15" customHeight="1"/>
  <cols>
    <col min="1" max="1" width="3.26953125" style="37" customWidth="1"/>
    <col min="2" max="2" width="7.1796875" style="37" customWidth="1"/>
    <col min="3" max="3" width="63.54296875" style="37" customWidth="1"/>
    <col min="4" max="4" width="12.26953125" style="37" customWidth="1"/>
    <col min="5" max="5" width="11.7265625" style="37" customWidth="1"/>
    <col min="6" max="6" width="53.26953125" style="37" customWidth="1"/>
    <col min="7" max="7" width="87.54296875" style="37" customWidth="1"/>
    <col min="8" max="16384" width="8.7265625" style="37"/>
  </cols>
  <sheetData>
    <row r="2" spans="2:7" s="37" customFormat="1" ht="13">
      <c r="C2" s="38" t="str">
        <f>Project_Name</f>
        <v>South Australia Oil and Gas Financial Assurance Calculator</v>
      </c>
    </row>
    <row r="3" spans="2:7" s="37" customFormat="1" ht="11.25" customHeight="1">
      <c r="C3" s="107" t="s">
        <v>24</v>
      </c>
    </row>
    <row r="4" spans="2:7" s="37" customFormat="1" ht="13">
      <c r="C4" s="49" t="s">
        <v>16</v>
      </c>
      <c r="D4" s="78"/>
      <c r="E4" s="78"/>
      <c r="F4" s="78"/>
      <c r="G4" s="78"/>
    </row>
    <row r="5" spans="2:7" s="37" customFormat="1" ht="11.25" customHeight="1"/>
    <row r="6" spans="2:7" s="37" customFormat="1" ht="30" customHeight="1">
      <c r="C6" s="152" t="s">
        <v>48</v>
      </c>
      <c r="D6" s="152" t="s">
        <v>171</v>
      </c>
      <c r="E6" s="152" t="s">
        <v>39</v>
      </c>
      <c r="F6" s="152" t="s">
        <v>47</v>
      </c>
      <c r="G6" s="152" t="s">
        <v>172</v>
      </c>
    </row>
    <row r="7" spans="2:7" s="37" customFormat="1" ht="3" customHeight="1"/>
    <row r="8" spans="2:7" s="37" customFormat="1" ht="12.5">
      <c r="B8" s="153" t="s">
        <v>174</v>
      </c>
      <c r="C8" s="154" t="s">
        <v>175</v>
      </c>
      <c r="D8" s="155">
        <v>155</v>
      </c>
      <c r="E8" s="37" t="s">
        <v>176</v>
      </c>
      <c r="F8" s="82" t="s">
        <v>707</v>
      </c>
      <c r="G8" s="82" t="s">
        <v>177</v>
      </c>
    </row>
    <row r="9" spans="2:7" s="37" customFormat="1" ht="12.5">
      <c r="B9" s="156"/>
      <c r="C9" s="154" t="s">
        <v>178</v>
      </c>
      <c r="D9" s="155">
        <v>180</v>
      </c>
      <c r="E9" s="37" t="s">
        <v>176</v>
      </c>
      <c r="F9" s="82" t="s">
        <v>707</v>
      </c>
      <c r="G9" s="82" t="s">
        <v>177</v>
      </c>
    </row>
    <row r="10" spans="2:7" s="37" customFormat="1" ht="12.5">
      <c r="B10" s="156"/>
      <c r="C10" s="154" t="s">
        <v>179</v>
      </c>
      <c r="D10" s="155">
        <v>250</v>
      </c>
      <c r="E10" s="37" t="s">
        <v>176</v>
      </c>
      <c r="F10" s="82" t="s">
        <v>707</v>
      </c>
      <c r="G10" s="82" t="s">
        <v>177</v>
      </c>
    </row>
    <row r="11" spans="2:7" s="37" customFormat="1" ht="12.5">
      <c r="B11" s="156"/>
      <c r="C11" s="154" t="s">
        <v>180</v>
      </c>
      <c r="D11" s="155">
        <v>300</v>
      </c>
      <c r="E11" s="37" t="s">
        <v>176</v>
      </c>
      <c r="F11" s="82" t="s">
        <v>707</v>
      </c>
      <c r="G11" s="82" t="s">
        <v>177</v>
      </c>
    </row>
    <row r="12" spans="2:7" s="37" customFormat="1" ht="12.5">
      <c r="B12" s="156"/>
      <c r="C12" s="154" t="s">
        <v>181</v>
      </c>
      <c r="D12" s="155">
        <v>240</v>
      </c>
      <c r="E12" s="37" t="s">
        <v>176</v>
      </c>
      <c r="F12" s="82" t="s">
        <v>707</v>
      </c>
      <c r="G12" s="82" t="s">
        <v>177</v>
      </c>
    </row>
    <row r="13" spans="2:7" s="37" customFormat="1" ht="12.5">
      <c r="B13" s="156"/>
      <c r="C13" s="154" t="s">
        <v>182</v>
      </c>
      <c r="D13" s="155">
        <v>280</v>
      </c>
      <c r="E13" s="37" t="s">
        <v>176</v>
      </c>
      <c r="F13" s="82" t="s">
        <v>707</v>
      </c>
      <c r="G13" s="82" t="s">
        <v>177</v>
      </c>
    </row>
    <row r="14" spans="2:7" s="37" customFormat="1" ht="12.5">
      <c r="B14" s="156"/>
      <c r="C14" s="154" t="s">
        <v>183</v>
      </c>
      <c r="D14" s="155">
        <v>420</v>
      </c>
      <c r="E14" s="37" t="s">
        <v>176</v>
      </c>
      <c r="F14" s="82" t="s">
        <v>707</v>
      </c>
      <c r="G14" s="82" t="s">
        <v>177</v>
      </c>
    </row>
    <row r="15" spans="2:7" s="37" customFormat="1" ht="12.5">
      <c r="B15" s="156"/>
      <c r="C15" s="154" t="s">
        <v>184</v>
      </c>
      <c r="D15" s="155">
        <v>160</v>
      </c>
      <c r="E15" s="37" t="s">
        <v>176</v>
      </c>
      <c r="F15" s="82" t="s">
        <v>707</v>
      </c>
      <c r="G15" s="82" t="s">
        <v>177</v>
      </c>
    </row>
    <row r="16" spans="2:7" s="37" customFormat="1" ht="12.5">
      <c r="B16" s="156"/>
      <c r="C16" s="154" t="s">
        <v>185</v>
      </c>
      <c r="D16" s="155">
        <v>149.94999999999999</v>
      </c>
      <c r="E16" s="37" t="s">
        <v>176</v>
      </c>
      <c r="F16" s="82" t="s">
        <v>707</v>
      </c>
      <c r="G16" s="82" t="s">
        <v>177</v>
      </c>
    </row>
    <row r="17" spans="2:7" s="37" customFormat="1" ht="12.5">
      <c r="B17" s="156"/>
      <c r="C17" s="154" t="s">
        <v>186</v>
      </c>
      <c r="D17" s="155">
        <v>146.19999999999999</v>
      </c>
      <c r="E17" s="37" t="s">
        <v>176</v>
      </c>
      <c r="F17" s="82" t="s">
        <v>708</v>
      </c>
      <c r="G17" s="82" t="s">
        <v>677</v>
      </c>
    </row>
    <row r="18" spans="2:7" s="37" customFormat="1" ht="12.5">
      <c r="B18" s="156"/>
      <c r="C18" s="157" t="s">
        <v>188</v>
      </c>
      <c r="D18" s="155">
        <v>168.69</v>
      </c>
      <c r="E18" s="37" t="s">
        <v>176</v>
      </c>
      <c r="F18" s="82" t="s">
        <v>708</v>
      </c>
      <c r="G18" s="82" t="s">
        <v>677</v>
      </c>
    </row>
    <row r="19" spans="2:7" s="37" customFormat="1" ht="12.5">
      <c r="B19" s="156"/>
      <c r="C19" s="157" t="s">
        <v>189</v>
      </c>
      <c r="D19" s="155">
        <v>180</v>
      </c>
      <c r="E19" s="37" t="s">
        <v>176</v>
      </c>
      <c r="F19" s="82" t="s">
        <v>708</v>
      </c>
      <c r="G19" s="82" t="s">
        <v>677</v>
      </c>
    </row>
    <row r="20" spans="2:7" s="37" customFormat="1" ht="12.5">
      <c r="B20" s="156"/>
      <c r="C20" s="157" t="s">
        <v>190</v>
      </c>
      <c r="D20" s="155">
        <v>84.344867508965919</v>
      </c>
      <c r="E20" s="37" t="s">
        <v>176</v>
      </c>
      <c r="F20" s="82" t="s">
        <v>708</v>
      </c>
      <c r="G20" s="82" t="s">
        <v>677</v>
      </c>
    </row>
    <row r="21" spans="2:7" s="37" customFormat="1" ht="12.5">
      <c r="B21" s="156"/>
      <c r="C21" s="154" t="s">
        <v>191</v>
      </c>
      <c r="D21" s="155">
        <v>146.19999999999999</v>
      </c>
      <c r="E21" s="37" t="s">
        <v>176</v>
      </c>
      <c r="F21" s="82" t="s">
        <v>708</v>
      </c>
      <c r="G21" s="82" t="s">
        <v>677</v>
      </c>
    </row>
    <row r="22" spans="2:7" s="37" customFormat="1" ht="12.5">
      <c r="B22" s="156"/>
      <c r="C22" s="154" t="s">
        <v>192</v>
      </c>
      <c r="D22" s="155">
        <v>140.57</v>
      </c>
      <c r="E22" s="37" t="s">
        <v>176</v>
      </c>
      <c r="F22" s="82" t="s">
        <v>708</v>
      </c>
      <c r="G22" s="82" t="s">
        <v>677</v>
      </c>
    </row>
    <row r="23" spans="2:7" s="37" customFormat="1" ht="12.5">
      <c r="B23" s="156"/>
      <c r="C23" s="154" t="s">
        <v>193</v>
      </c>
      <c r="D23" s="155">
        <v>103.09</v>
      </c>
      <c r="E23" s="37" t="s">
        <v>176</v>
      </c>
      <c r="F23" s="82" t="s">
        <v>708</v>
      </c>
      <c r="G23" s="82" t="s">
        <v>677</v>
      </c>
    </row>
    <row r="24" spans="2:7" s="37" customFormat="1" ht="12.5">
      <c r="B24" s="156"/>
      <c r="C24" s="154" t="s">
        <v>194</v>
      </c>
      <c r="D24" s="155">
        <v>116.03</v>
      </c>
      <c r="E24" s="37" t="s">
        <v>176</v>
      </c>
      <c r="F24" s="82" t="s">
        <v>592</v>
      </c>
      <c r="G24" s="82"/>
    </row>
    <row r="25" spans="2:7" s="37" customFormat="1" ht="12.5">
      <c r="B25" s="153" t="s">
        <v>195</v>
      </c>
      <c r="C25" s="157" t="s">
        <v>196</v>
      </c>
      <c r="D25" s="155">
        <v>260</v>
      </c>
      <c r="E25" s="37" t="s">
        <v>176</v>
      </c>
      <c r="F25" s="82" t="s">
        <v>672</v>
      </c>
      <c r="G25" s="82" t="s">
        <v>706</v>
      </c>
    </row>
    <row r="26" spans="2:7" s="37" customFormat="1" ht="12.5">
      <c r="B26" s="156"/>
      <c r="C26" s="157" t="s">
        <v>197</v>
      </c>
      <c r="D26" s="155">
        <v>432</v>
      </c>
      <c r="E26" s="37" t="s">
        <v>176</v>
      </c>
      <c r="F26" s="82" t="s">
        <v>672</v>
      </c>
      <c r="G26" s="82" t="s">
        <v>706</v>
      </c>
    </row>
    <row r="27" spans="2:7" s="37" customFormat="1" ht="12.5">
      <c r="B27" s="156"/>
      <c r="C27" s="157" t="s">
        <v>198</v>
      </c>
      <c r="D27" s="155">
        <v>732</v>
      </c>
      <c r="E27" s="37" t="s">
        <v>176</v>
      </c>
      <c r="F27" s="82" t="s">
        <v>672</v>
      </c>
      <c r="G27" s="82" t="s">
        <v>706</v>
      </c>
    </row>
    <row r="28" spans="2:7" s="37" customFormat="1" ht="12.5">
      <c r="B28" s="158"/>
      <c r="C28" s="157" t="s">
        <v>199</v>
      </c>
      <c r="D28" s="155">
        <v>8.5714285714285712</v>
      </c>
      <c r="E28" s="37" t="s">
        <v>176</v>
      </c>
      <c r="F28" s="82" t="s">
        <v>673</v>
      </c>
      <c r="G28" s="82" t="s">
        <v>706</v>
      </c>
    </row>
    <row r="29" spans="2:7" s="37" customFormat="1" ht="12.5">
      <c r="B29" s="153" t="s">
        <v>200</v>
      </c>
      <c r="C29" s="157" t="s">
        <v>201</v>
      </c>
      <c r="D29" s="155">
        <v>201.57</v>
      </c>
      <c r="E29" s="37" t="s">
        <v>176</v>
      </c>
      <c r="F29" s="82" t="s">
        <v>647</v>
      </c>
      <c r="G29" s="82" t="s">
        <v>674</v>
      </c>
    </row>
    <row r="30" spans="2:7" s="37" customFormat="1" ht="12.5">
      <c r="B30" s="156"/>
      <c r="C30" s="157" t="s">
        <v>202</v>
      </c>
      <c r="D30" s="155">
        <v>222.69</v>
      </c>
      <c r="E30" s="37" t="s">
        <v>176</v>
      </c>
      <c r="F30" s="82" t="s">
        <v>647</v>
      </c>
      <c r="G30" s="82" t="s">
        <v>674</v>
      </c>
    </row>
    <row r="31" spans="2:7" s="37" customFormat="1" ht="12.5">
      <c r="B31" s="156"/>
      <c r="C31" s="157" t="s">
        <v>203</v>
      </c>
      <c r="D31" s="155">
        <v>370</v>
      </c>
      <c r="E31" s="37" t="s">
        <v>176</v>
      </c>
      <c r="F31" s="82" t="s">
        <v>647</v>
      </c>
      <c r="G31" s="82" t="s">
        <v>674</v>
      </c>
    </row>
    <row r="32" spans="2:7" s="37" customFormat="1" ht="12.5">
      <c r="B32" s="156"/>
      <c r="C32" s="157" t="s">
        <v>204</v>
      </c>
      <c r="D32" s="155">
        <v>405</v>
      </c>
      <c r="E32" s="37" t="s">
        <v>176</v>
      </c>
      <c r="F32" s="82" t="s">
        <v>647</v>
      </c>
      <c r="G32" s="82" t="s">
        <v>674</v>
      </c>
    </row>
    <row r="33" spans="1:7" s="37" customFormat="1" ht="12.5">
      <c r="B33" s="156"/>
      <c r="C33" s="157" t="s">
        <v>205</v>
      </c>
      <c r="D33" s="155">
        <v>422.35</v>
      </c>
      <c r="E33" s="37" t="s">
        <v>176</v>
      </c>
      <c r="F33" s="82" t="s">
        <v>647</v>
      </c>
      <c r="G33" s="82" t="s">
        <v>674</v>
      </c>
    </row>
    <row r="34" spans="1:7" s="37" customFormat="1" ht="12.5">
      <c r="B34" s="156"/>
      <c r="C34" s="157" t="s">
        <v>206</v>
      </c>
      <c r="D34" s="155">
        <v>546.32000000000005</v>
      </c>
      <c r="E34" s="37" t="s">
        <v>176</v>
      </c>
      <c r="F34" s="82" t="s">
        <v>647</v>
      </c>
      <c r="G34" s="82" t="s">
        <v>674</v>
      </c>
    </row>
    <row r="35" spans="1:7" s="37" customFormat="1" ht="12.5">
      <c r="B35" s="156"/>
      <c r="C35" s="157" t="s">
        <v>207</v>
      </c>
      <c r="D35" s="155">
        <v>252</v>
      </c>
      <c r="E35" s="37" t="s">
        <v>176</v>
      </c>
      <c r="F35" s="82" t="s">
        <v>647</v>
      </c>
      <c r="G35" s="82" t="s">
        <v>674</v>
      </c>
    </row>
    <row r="36" spans="1:7" s="37" customFormat="1" ht="12.5">
      <c r="B36" s="156"/>
      <c r="C36" s="157" t="s">
        <v>208</v>
      </c>
      <c r="D36" s="155">
        <v>264</v>
      </c>
      <c r="E36" s="37" t="s">
        <v>176</v>
      </c>
      <c r="F36" s="82" t="s">
        <v>647</v>
      </c>
      <c r="G36" s="82" t="s">
        <v>674</v>
      </c>
    </row>
    <row r="37" spans="1:7" s="37" customFormat="1" ht="12.5">
      <c r="B37" s="158"/>
      <c r="C37" s="157" t="s">
        <v>209</v>
      </c>
      <c r="D37" s="155">
        <v>305.41999999999996</v>
      </c>
      <c r="E37" s="37" t="s">
        <v>176</v>
      </c>
      <c r="F37" s="82" t="s">
        <v>647</v>
      </c>
      <c r="G37" s="82" t="s">
        <v>674</v>
      </c>
    </row>
    <row r="38" spans="1:7" s="37" customFormat="1" ht="12.5">
      <c r="A38" s="74"/>
      <c r="B38" s="159" t="s">
        <v>210</v>
      </c>
      <c r="C38" s="157" t="s">
        <v>211</v>
      </c>
      <c r="D38" s="155">
        <v>270</v>
      </c>
      <c r="E38" s="37" t="s">
        <v>176</v>
      </c>
      <c r="F38" s="82" t="s">
        <v>647</v>
      </c>
      <c r="G38" s="82" t="s">
        <v>674</v>
      </c>
    </row>
    <row r="39" spans="1:7" s="37" customFormat="1" ht="12.5">
      <c r="A39" s="74"/>
      <c r="B39" s="160"/>
      <c r="C39" s="157" t="s">
        <v>212</v>
      </c>
      <c r="D39" s="155">
        <v>300</v>
      </c>
      <c r="E39" s="37" t="s">
        <v>176</v>
      </c>
      <c r="F39" s="82" t="s">
        <v>647</v>
      </c>
      <c r="G39" s="82" t="s">
        <v>674</v>
      </c>
    </row>
    <row r="40" spans="1:7" s="37" customFormat="1" ht="12.5">
      <c r="A40" s="74"/>
      <c r="B40" s="160"/>
      <c r="C40" s="157" t="s">
        <v>213</v>
      </c>
      <c r="D40" s="155">
        <v>456</v>
      </c>
      <c r="E40" s="37" t="s">
        <v>176</v>
      </c>
      <c r="F40" s="82" t="s">
        <v>647</v>
      </c>
      <c r="G40" s="82" t="s">
        <v>674</v>
      </c>
    </row>
    <row r="41" spans="1:7" s="37" customFormat="1" ht="12.5">
      <c r="A41" s="74"/>
      <c r="B41" s="160"/>
      <c r="C41" s="157" t="s">
        <v>214</v>
      </c>
      <c r="D41" s="155">
        <v>600</v>
      </c>
      <c r="E41" s="37" t="s">
        <v>176</v>
      </c>
      <c r="F41" s="82" t="s">
        <v>647</v>
      </c>
      <c r="G41" s="82" t="s">
        <v>674</v>
      </c>
    </row>
    <row r="42" spans="1:7" s="37" customFormat="1" ht="12.5">
      <c r="A42" s="74"/>
      <c r="B42" s="160"/>
      <c r="C42" s="157" t="s">
        <v>215</v>
      </c>
      <c r="D42" s="155">
        <v>60</v>
      </c>
      <c r="E42" s="37" t="s">
        <v>176</v>
      </c>
      <c r="F42" s="82" t="s">
        <v>647</v>
      </c>
      <c r="G42" s="82" t="s">
        <v>674</v>
      </c>
    </row>
    <row r="43" spans="1:7" s="37" customFormat="1" ht="12.5">
      <c r="B43" s="160"/>
      <c r="C43" s="157" t="s">
        <v>216</v>
      </c>
      <c r="D43" s="155">
        <v>72</v>
      </c>
      <c r="E43" s="37" t="s">
        <v>176</v>
      </c>
      <c r="F43" s="82" t="s">
        <v>647</v>
      </c>
      <c r="G43" s="82" t="s">
        <v>674</v>
      </c>
    </row>
    <row r="44" spans="1:7" s="37" customFormat="1" ht="12.5">
      <c r="B44" s="160"/>
      <c r="C44" s="157" t="s">
        <v>217</v>
      </c>
      <c r="D44" s="155">
        <v>84</v>
      </c>
      <c r="E44" s="37" t="s">
        <v>176</v>
      </c>
      <c r="F44" s="82" t="s">
        <v>647</v>
      </c>
      <c r="G44" s="82" t="s">
        <v>674</v>
      </c>
    </row>
    <row r="45" spans="1:7" s="37" customFormat="1" ht="12.5">
      <c r="B45" s="160"/>
      <c r="C45" s="157" t="s">
        <v>218</v>
      </c>
      <c r="D45" s="155">
        <v>60</v>
      </c>
      <c r="E45" s="37" t="s">
        <v>176</v>
      </c>
      <c r="F45" s="82" t="s">
        <v>647</v>
      </c>
      <c r="G45" s="82" t="s">
        <v>674</v>
      </c>
    </row>
    <row r="46" spans="1:7" s="37" customFormat="1" ht="12.5">
      <c r="B46" s="160"/>
      <c r="C46" s="157" t="s">
        <v>219</v>
      </c>
      <c r="D46" s="155">
        <v>72</v>
      </c>
      <c r="E46" s="37" t="s">
        <v>176</v>
      </c>
      <c r="F46" s="82" t="s">
        <v>647</v>
      </c>
      <c r="G46" s="82" t="s">
        <v>674</v>
      </c>
    </row>
    <row r="47" spans="1:7" s="37" customFormat="1" ht="12.5">
      <c r="B47" s="160"/>
      <c r="C47" s="157" t="s">
        <v>220</v>
      </c>
      <c r="D47" s="155">
        <v>114</v>
      </c>
      <c r="E47" s="37" t="s">
        <v>176</v>
      </c>
      <c r="F47" s="82" t="s">
        <v>647</v>
      </c>
      <c r="G47" s="82" t="s">
        <v>674</v>
      </c>
    </row>
    <row r="48" spans="1:7" s="37" customFormat="1" ht="12.5">
      <c r="B48" s="160"/>
      <c r="C48" s="157" t="s">
        <v>221</v>
      </c>
      <c r="D48" s="155">
        <v>60</v>
      </c>
      <c r="E48" s="37" t="s">
        <v>176</v>
      </c>
      <c r="F48" s="82" t="s">
        <v>647</v>
      </c>
      <c r="G48" s="82" t="s">
        <v>674</v>
      </c>
    </row>
    <row r="49" spans="2:7" s="37" customFormat="1" ht="12.5">
      <c r="B49" s="160"/>
      <c r="C49" s="157" t="s">
        <v>222</v>
      </c>
      <c r="D49" s="155">
        <v>72</v>
      </c>
      <c r="E49" s="37" t="s">
        <v>176</v>
      </c>
      <c r="F49" s="82" t="s">
        <v>647</v>
      </c>
      <c r="G49" s="82" t="s">
        <v>674</v>
      </c>
    </row>
    <row r="50" spans="2:7" s="37" customFormat="1" ht="12.5">
      <c r="B50" s="160"/>
      <c r="C50" s="157" t="s">
        <v>223</v>
      </c>
      <c r="D50" s="155">
        <v>84</v>
      </c>
      <c r="E50" s="37" t="s">
        <v>176</v>
      </c>
      <c r="F50" s="82" t="s">
        <v>647</v>
      </c>
      <c r="G50" s="82" t="s">
        <v>674</v>
      </c>
    </row>
    <row r="51" spans="2:7" s="37" customFormat="1" ht="14.5" customHeight="1">
      <c r="B51" s="159" t="s">
        <v>88</v>
      </c>
      <c r="C51" s="157" t="s">
        <v>224</v>
      </c>
      <c r="D51" s="155">
        <v>165</v>
      </c>
      <c r="E51" s="37" t="s">
        <v>87</v>
      </c>
      <c r="F51" s="161" t="s">
        <v>676</v>
      </c>
      <c r="G51" s="82" t="s">
        <v>723</v>
      </c>
    </row>
    <row r="52" spans="2:7" s="37" customFormat="1" ht="12.65" customHeight="1">
      <c r="B52" s="160"/>
      <c r="C52" s="157" t="s">
        <v>95</v>
      </c>
      <c r="D52" s="155">
        <v>115.5</v>
      </c>
      <c r="E52" s="37" t="s">
        <v>87</v>
      </c>
      <c r="F52" s="161" t="s">
        <v>676</v>
      </c>
      <c r="G52" s="82" t="s">
        <v>723</v>
      </c>
    </row>
    <row r="53" spans="2:7" s="37" customFormat="1" ht="12.5">
      <c r="B53" s="160"/>
      <c r="C53" s="157" t="s">
        <v>225</v>
      </c>
      <c r="D53" s="155">
        <v>123</v>
      </c>
      <c r="E53" s="37" t="s">
        <v>87</v>
      </c>
      <c r="F53" s="161" t="s">
        <v>676</v>
      </c>
      <c r="G53" s="82" t="s">
        <v>723</v>
      </c>
    </row>
    <row r="54" spans="2:7" s="37" customFormat="1" ht="12.5">
      <c r="B54" s="160"/>
      <c r="C54" s="157" t="s">
        <v>228</v>
      </c>
      <c r="D54" s="155">
        <v>900</v>
      </c>
      <c r="E54" s="37" t="s">
        <v>87</v>
      </c>
      <c r="F54" s="161" t="s">
        <v>676</v>
      </c>
      <c r="G54" s="82" t="s">
        <v>723</v>
      </c>
    </row>
    <row r="55" spans="2:7" s="37" customFormat="1" ht="12.5">
      <c r="B55" s="160"/>
      <c r="C55" s="157" t="s">
        <v>229</v>
      </c>
      <c r="D55" s="155">
        <v>600</v>
      </c>
      <c r="E55" s="37" t="s">
        <v>87</v>
      </c>
      <c r="F55" s="161" t="s">
        <v>676</v>
      </c>
      <c r="G55" s="82" t="s">
        <v>723</v>
      </c>
    </row>
    <row r="56" spans="2:7" s="37" customFormat="1" ht="12.5">
      <c r="B56" s="160"/>
      <c r="C56" s="157" t="s">
        <v>230</v>
      </c>
      <c r="D56" s="155">
        <v>1000</v>
      </c>
      <c r="E56" s="37" t="s">
        <v>87</v>
      </c>
      <c r="F56" s="161" t="s">
        <v>676</v>
      </c>
      <c r="G56" s="82" t="s">
        <v>723</v>
      </c>
    </row>
    <row r="57" spans="2:7" s="37" customFormat="1" ht="12.5">
      <c r="B57" s="160"/>
      <c r="C57" s="157" t="s">
        <v>231</v>
      </c>
      <c r="D57" s="155">
        <v>350</v>
      </c>
      <c r="E57" s="37" t="s">
        <v>232</v>
      </c>
      <c r="F57" s="161" t="s">
        <v>676</v>
      </c>
      <c r="G57" s="82" t="s">
        <v>723</v>
      </c>
    </row>
    <row r="58" spans="2:7" s="37" customFormat="1" ht="12.5">
      <c r="B58" s="160"/>
      <c r="C58" s="157" t="s">
        <v>233</v>
      </c>
      <c r="D58" s="155">
        <v>150</v>
      </c>
      <c r="E58" s="37" t="s">
        <v>232</v>
      </c>
      <c r="F58" s="161" t="s">
        <v>676</v>
      </c>
      <c r="G58" s="82" t="s">
        <v>723</v>
      </c>
    </row>
    <row r="59" spans="2:7" s="37" customFormat="1" ht="12.5">
      <c r="B59" s="160"/>
      <c r="C59" s="157" t="s">
        <v>234</v>
      </c>
      <c r="D59" s="155">
        <v>4</v>
      </c>
      <c r="E59" s="37" t="s">
        <v>57</v>
      </c>
      <c r="F59" s="161" t="s">
        <v>676</v>
      </c>
      <c r="G59" s="82" t="s">
        <v>723</v>
      </c>
    </row>
    <row r="60" spans="2:7" s="37" customFormat="1" ht="12.5">
      <c r="B60" s="160"/>
      <c r="C60" s="157" t="s">
        <v>235</v>
      </c>
      <c r="D60" s="155">
        <v>40</v>
      </c>
      <c r="E60" s="37" t="s">
        <v>57</v>
      </c>
      <c r="F60" s="161" t="s">
        <v>676</v>
      </c>
      <c r="G60" s="82" t="s">
        <v>723</v>
      </c>
    </row>
    <row r="61" spans="2:7" s="37" customFormat="1" ht="12.5">
      <c r="B61" s="162"/>
      <c r="C61" s="157" t="s">
        <v>236</v>
      </c>
      <c r="D61" s="155">
        <v>1</v>
      </c>
      <c r="E61" s="37" t="s">
        <v>237</v>
      </c>
      <c r="F61" s="82" t="s">
        <v>592</v>
      </c>
      <c r="G61" s="82"/>
    </row>
    <row r="62" spans="2:7" s="37" customFormat="1" ht="14.5" customHeight="1">
      <c r="B62" s="153" t="s">
        <v>238</v>
      </c>
      <c r="C62" s="157" t="s">
        <v>239</v>
      </c>
      <c r="D62" s="155">
        <v>309</v>
      </c>
      <c r="E62" s="37" t="s">
        <v>176</v>
      </c>
      <c r="F62" s="82" t="s">
        <v>647</v>
      </c>
      <c r="G62" s="82" t="s">
        <v>674</v>
      </c>
    </row>
    <row r="63" spans="2:7" s="37" customFormat="1" ht="12.5">
      <c r="B63" s="156"/>
      <c r="C63" s="157" t="s">
        <v>240</v>
      </c>
      <c r="D63" s="155">
        <v>327</v>
      </c>
      <c r="E63" s="37" t="s">
        <v>176</v>
      </c>
      <c r="F63" s="82" t="s">
        <v>647</v>
      </c>
      <c r="G63" s="82" t="s">
        <v>674</v>
      </c>
    </row>
    <row r="64" spans="2:7" s="37" customFormat="1" ht="12.5">
      <c r="B64" s="156"/>
      <c r="C64" s="157" t="s">
        <v>241</v>
      </c>
      <c r="D64" s="155">
        <v>160.5</v>
      </c>
      <c r="E64" s="37" t="s">
        <v>176</v>
      </c>
      <c r="F64" s="82" t="s">
        <v>647</v>
      </c>
      <c r="G64" s="82" t="s">
        <v>674</v>
      </c>
    </row>
    <row r="65" spans="2:7" s="37" customFormat="1" ht="12.5">
      <c r="B65" s="156"/>
      <c r="C65" s="157" t="s">
        <v>242</v>
      </c>
      <c r="D65" s="155">
        <v>200.53</v>
      </c>
      <c r="E65" s="37" t="s">
        <v>176</v>
      </c>
      <c r="F65" s="82" t="s">
        <v>647</v>
      </c>
      <c r="G65" s="82" t="s">
        <v>674</v>
      </c>
    </row>
    <row r="66" spans="2:7" s="37" customFormat="1" ht="12.65" customHeight="1">
      <c r="B66" s="156"/>
      <c r="C66" s="157" t="s">
        <v>243</v>
      </c>
      <c r="D66" s="155">
        <v>255</v>
      </c>
      <c r="E66" s="37" t="s">
        <v>176</v>
      </c>
      <c r="F66" s="82" t="s">
        <v>647</v>
      </c>
      <c r="G66" s="82" t="s">
        <v>674</v>
      </c>
    </row>
    <row r="67" spans="2:7" s="37" customFormat="1" ht="12.5">
      <c r="B67" s="156"/>
      <c r="C67" s="157" t="s">
        <v>244</v>
      </c>
      <c r="D67" s="155">
        <v>270</v>
      </c>
      <c r="E67" s="37" t="s">
        <v>176</v>
      </c>
      <c r="F67" s="82" t="s">
        <v>647</v>
      </c>
      <c r="G67" s="82" t="s">
        <v>674</v>
      </c>
    </row>
    <row r="68" spans="2:7" s="37" customFormat="1" ht="12.5">
      <c r="B68" s="156"/>
      <c r="C68" s="154" t="s">
        <v>245</v>
      </c>
      <c r="D68" s="155">
        <v>90</v>
      </c>
      <c r="E68" s="37" t="s">
        <v>176</v>
      </c>
      <c r="F68" s="82"/>
      <c r="G68" s="82" t="s">
        <v>674</v>
      </c>
    </row>
    <row r="69" spans="2:7" s="37" customFormat="1" ht="12.5">
      <c r="B69" s="158"/>
      <c r="C69" s="154" t="s">
        <v>246</v>
      </c>
      <c r="D69" s="155">
        <v>208.33</v>
      </c>
      <c r="E69" s="37" t="s">
        <v>176</v>
      </c>
      <c r="F69" s="82" t="s">
        <v>675</v>
      </c>
      <c r="G69" s="82"/>
    </row>
    <row r="70" spans="2:7" s="37" customFormat="1" ht="12.5">
      <c r="B70" s="159" t="s">
        <v>247</v>
      </c>
      <c r="C70" s="157" t="s">
        <v>248</v>
      </c>
      <c r="D70" s="155">
        <v>90</v>
      </c>
      <c r="E70" s="37" t="s">
        <v>176</v>
      </c>
      <c r="F70" s="82" t="s">
        <v>701</v>
      </c>
      <c r="G70" s="82"/>
    </row>
    <row r="71" spans="2:7" s="37" customFormat="1" ht="12.5">
      <c r="B71" s="160"/>
      <c r="C71" s="157" t="s">
        <v>249</v>
      </c>
      <c r="D71" s="155">
        <v>175</v>
      </c>
      <c r="E71" s="37" t="s">
        <v>176</v>
      </c>
      <c r="F71" s="82" t="s">
        <v>700</v>
      </c>
      <c r="G71" s="82"/>
    </row>
    <row r="72" spans="2:7" s="37" customFormat="1" ht="12.5">
      <c r="B72" s="160"/>
      <c r="C72" s="157" t="s">
        <v>250</v>
      </c>
      <c r="D72" s="155">
        <v>135</v>
      </c>
      <c r="E72" s="37" t="s">
        <v>176</v>
      </c>
      <c r="F72" s="82" t="s">
        <v>702</v>
      </c>
      <c r="G72" s="82"/>
    </row>
    <row r="73" spans="2:7" s="37" customFormat="1" ht="12.5">
      <c r="B73" s="160"/>
      <c r="C73" s="157" t="s">
        <v>251</v>
      </c>
      <c r="D73" s="155">
        <v>339</v>
      </c>
      <c r="E73" s="37" t="s">
        <v>176</v>
      </c>
      <c r="F73" s="82" t="s">
        <v>700</v>
      </c>
      <c r="G73" s="82"/>
    </row>
    <row r="74" spans="2:7" s="37" customFormat="1" ht="12.5">
      <c r="B74" s="160"/>
      <c r="C74" s="157" t="s">
        <v>252</v>
      </c>
      <c r="D74" s="155">
        <v>187</v>
      </c>
      <c r="E74" s="37" t="s">
        <v>176</v>
      </c>
      <c r="F74" s="82" t="s">
        <v>700</v>
      </c>
      <c r="G74" s="82"/>
    </row>
    <row r="75" spans="2:7" s="37" customFormat="1" ht="12.5">
      <c r="B75" s="160"/>
      <c r="C75" s="157" t="s">
        <v>253</v>
      </c>
      <c r="D75" s="155">
        <v>259.04044949692695</v>
      </c>
      <c r="E75" s="37" t="s">
        <v>176</v>
      </c>
      <c r="F75" s="82" t="s">
        <v>700</v>
      </c>
      <c r="G75" s="82"/>
    </row>
    <row r="76" spans="2:7" s="37" customFormat="1" ht="12.5">
      <c r="B76" s="160"/>
      <c r="C76" s="157" t="s">
        <v>254</v>
      </c>
      <c r="D76" s="155">
        <v>166</v>
      </c>
      <c r="E76" s="37" t="s">
        <v>176</v>
      </c>
      <c r="F76" s="82" t="s">
        <v>700</v>
      </c>
      <c r="G76" s="82"/>
    </row>
    <row r="77" spans="2:7" s="37" customFormat="1" ht="12.5">
      <c r="B77" s="160"/>
      <c r="C77" s="154" t="s">
        <v>255</v>
      </c>
      <c r="D77" s="155">
        <v>230</v>
      </c>
      <c r="E77" s="37" t="s">
        <v>176</v>
      </c>
      <c r="F77" s="82" t="s">
        <v>700</v>
      </c>
      <c r="G77" s="82"/>
    </row>
    <row r="78" spans="2:7" s="37" customFormat="1" ht="12.5">
      <c r="B78" s="160"/>
      <c r="C78" s="154" t="s">
        <v>256</v>
      </c>
      <c r="D78" s="155">
        <v>350</v>
      </c>
      <c r="E78" s="37" t="s">
        <v>176</v>
      </c>
      <c r="F78" s="82" t="s">
        <v>700</v>
      </c>
      <c r="G78" s="82"/>
    </row>
    <row r="79" spans="2:7" s="37" customFormat="1" ht="12.5">
      <c r="B79" s="153" t="s">
        <v>257</v>
      </c>
      <c r="C79" s="154" t="s">
        <v>258</v>
      </c>
      <c r="D79" s="155">
        <v>261.02</v>
      </c>
      <c r="E79" s="37" t="s">
        <v>176</v>
      </c>
      <c r="F79" s="82" t="s">
        <v>709</v>
      </c>
      <c r="G79" s="82" t="s">
        <v>710</v>
      </c>
    </row>
    <row r="80" spans="2:7" s="37" customFormat="1" ht="12.5">
      <c r="B80" s="156"/>
      <c r="C80" s="154" t="s">
        <v>259</v>
      </c>
      <c r="D80" s="155">
        <v>9.5</v>
      </c>
      <c r="E80" s="37" t="s">
        <v>176</v>
      </c>
      <c r="F80" s="82" t="s">
        <v>592</v>
      </c>
      <c r="G80" s="82"/>
    </row>
    <row r="81" spans="2:7" s="37" customFormat="1" ht="12.65" customHeight="1">
      <c r="B81" s="156"/>
      <c r="C81" s="154" t="s">
        <v>260</v>
      </c>
      <c r="D81" s="155">
        <v>10.86</v>
      </c>
      <c r="E81" s="37" t="s">
        <v>134</v>
      </c>
      <c r="F81" s="82" t="s">
        <v>592</v>
      </c>
      <c r="G81" s="82"/>
    </row>
    <row r="82" spans="2:7" s="37" customFormat="1" ht="12.5">
      <c r="B82" s="156"/>
      <c r="C82" s="154" t="s">
        <v>261</v>
      </c>
      <c r="D82" s="155">
        <v>92.73</v>
      </c>
      <c r="E82" s="37" t="s">
        <v>134</v>
      </c>
      <c r="F82" s="82" t="s">
        <v>592</v>
      </c>
      <c r="G82" s="82" t="s">
        <v>187</v>
      </c>
    </row>
    <row r="83" spans="2:7" s="37" customFormat="1" ht="12.5">
      <c r="B83" s="156"/>
      <c r="C83" s="154" t="s">
        <v>262</v>
      </c>
      <c r="D83" s="155">
        <v>20</v>
      </c>
      <c r="E83" s="37" t="s">
        <v>75</v>
      </c>
      <c r="F83" s="82" t="s">
        <v>592</v>
      </c>
      <c r="G83" s="82" t="s">
        <v>187</v>
      </c>
    </row>
    <row r="84" spans="2:7" s="37" customFormat="1" ht="12.5">
      <c r="B84" s="156"/>
      <c r="C84" s="154" t="s">
        <v>263</v>
      </c>
      <c r="D84" s="155">
        <v>229.91</v>
      </c>
      <c r="E84" s="37" t="s">
        <v>75</v>
      </c>
      <c r="F84" s="82" t="s">
        <v>592</v>
      </c>
      <c r="G84" s="82" t="s">
        <v>187</v>
      </c>
    </row>
    <row r="85" spans="2:7" s="37" customFormat="1" ht="12.5">
      <c r="B85" s="156"/>
      <c r="C85" s="154" t="s">
        <v>264</v>
      </c>
      <c r="D85" s="155">
        <v>450</v>
      </c>
      <c r="E85" s="37" t="s">
        <v>91</v>
      </c>
      <c r="F85" s="82" t="s">
        <v>592</v>
      </c>
      <c r="G85" s="82" t="s">
        <v>187</v>
      </c>
    </row>
    <row r="86" spans="2:7" s="37" customFormat="1" ht="12.5">
      <c r="B86" s="158"/>
      <c r="C86" s="154" t="s">
        <v>265</v>
      </c>
      <c r="D86" s="155">
        <v>200</v>
      </c>
      <c r="E86" s="37" t="s">
        <v>176</v>
      </c>
      <c r="F86" s="82" t="s">
        <v>592</v>
      </c>
      <c r="G86" s="82" t="s">
        <v>187</v>
      </c>
    </row>
    <row r="87" spans="2:7" s="37" customFormat="1" ht="13" customHeight="1">
      <c r="B87" s="153" t="s">
        <v>266</v>
      </c>
      <c r="C87" s="157" t="s">
        <v>267</v>
      </c>
      <c r="D87" s="155">
        <v>70</v>
      </c>
      <c r="E87" s="37" t="s">
        <v>87</v>
      </c>
      <c r="F87" s="148" t="s">
        <v>268</v>
      </c>
      <c r="G87" s="163" t="s">
        <v>269</v>
      </c>
    </row>
    <row r="88" spans="2:7" s="37" customFormat="1" ht="12.5">
      <c r="B88" s="156"/>
      <c r="C88" s="157" t="s">
        <v>97</v>
      </c>
      <c r="D88" s="155">
        <v>0</v>
      </c>
      <c r="E88" s="37" t="s">
        <v>87</v>
      </c>
      <c r="F88" s="82" t="s">
        <v>270</v>
      </c>
      <c r="G88" s="82"/>
    </row>
    <row r="89" spans="2:7" s="37" customFormat="1" ht="12.5">
      <c r="B89" s="156"/>
      <c r="C89" s="157" t="s">
        <v>271</v>
      </c>
      <c r="D89" s="155">
        <v>275</v>
      </c>
      <c r="E89" s="37" t="s">
        <v>87</v>
      </c>
      <c r="F89" s="82"/>
      <c r="G89" s="82" t="s">
        <v>711</v>
      </c>
    </row>
    <row r="90" spans="2:7" s="37" customFormat="1" ht="12.5">
      <c r="B90" s="156"/>
      <c r="C90" s="157" t="s">
        <v>272</v>
      </c>
      <c r="D90" s="155">
        <v>275</v>
      </c>
      <c r="E90" s="37" t="s">
        <v>87</v>
      </c>
      <c r="F90" s="82"/>
      <c r="G90" s="82" t="s">
        <v>711</v>
      </c>
    </row>
    <row r="91" spans="2:7" s="37" customFormat="1" ht="12.5">
      <c r="B91" s="156"/>
      <c r="C91" s="157" t="s">
        <v>273</v>
      </c>
      <c r="D91" s="155">
        <v>500</v>
      </c>
      <c r="E91" s="37" t="s">
        <v>87</v>
      </c>
      <c r="F91" s="82"/>
      <c r="G91" s="82" t="s">
        <v>711</v>
      </c>
    </row>
    <row r="92" spans="2:7" s="37" customFormat="1" ht="12.5">
      <c r="B92" s="156"/>
      <c r="C92" s="157" t="s">
        <v>274</v>
      </c>
      <c r="D92" s="155">
        <v>230</v>
      </c>
      <c r="E92" s="37" t="s">
        <v>124</v>
      </c>
      <c r="F92" s="82" t="s">
        <v>275</v>
      </c>
      <c r="G92" s="82" t="s">
        <v>711</v>
      </c>
    </row>
    <row r="93" spans="2:7" s="37" customFormat="1" ht="12.5">
      <c r="B93" s="156"/>
      <c r="C93" s="157" t="s">
        <v>276</v>
      </c>
      <c r="D93" s="155">
        <v>200</v>
      </c>
      <c r="E93" s="37" t="s">
        <v>124</v>
      </c>
      <c r="F93" s="82"/>
      <c r="G93" s="82" t="s">
        <v>711</v>
      </c>
    </row>
    <row r="94" spans="2:7" s="37" customFormat="1" ht="12.5">
      <c r="B94" s="156"/>
      <c r="C94" s="157" t="s">
        <v>277</v>
      </c>
      <c r="D94" s="155">
        <v>85</v>
      </c>
      <c r="E94" s="37" t="s">
        <v>87</v>
      </c>
      <c r="F94" s="82"/>
      <c r="G94" s="82" t="s">
        <v>711</v>
      </c>
    </row>
    <row r="95" spans="2:7" s="37" customFormat="1" ht="12.5">
      <c r="B95" s="156"/>
      <c r="C95" s="157" t="s">
        <v>278</v>
      </c>
      <c r="D95" s="155">
        <v>171</v>
      </c>
      <c r="E95" s="37" t="s">
        <v>87</v>
      </c>
      <c r="F95" s="82" t="s">
        <v>593</v>
      </c>
      <c r="G95" s="164" t="s">
        <v>279</v>
      </c>
    </row>
    <row r="96" spans="2:7" s="37" customFormat="1" ht="12.5">
      <c r="B96" s="156"/>
      <c r="C96" s="157" t="s">
        <v>280</v>
      </c>
      <c r="D96" s="155">
        <v>85.5</v>
      </c>
      <c r="E96" s="37" t="s">
        <v>87</v>
      </c>
      <c r="F96" s="82" t="s">
        <v>593</v>
      </c>
      <c r="G96" s="164" t="s">
        <v>279</v>
      </c>
    </row>
    <row r="97" spans="2:7" s="37" customFormat="1" ht="12.5">
      <c r="B97" s="158"/>
      <c r="C97" s="157" t="s">
        <v>281</v>
      </c>
      <c r="D97" s="155">
        <v>46.5</v>
      </c>
      <c r="E97" s="37" t="s">
        <v>124</v>
      </c>
      <c r="F97" s="82" t="s">
        <v>594</v>
      </c>
      <c r="G97" s="164" t="s">
        <v>279</v>
      </c>
    </row>
    <row r="98" spans="2:7" s="37" customFormat="1" ht="15" customHeight="1">
      <c r="B98" s="153" t="s">
        <v>282</v>
      </c>
      <c r="C98" s="157" t="s">
        <v>283</v>
      </c>
      <c r="D98" s="155">
        <v>300</v>
      </c>
      <c r="E98" s="37" t="s">
        <v>124</v>
      </c>
      <c r="F98" s="82"/>
      <c r="G98" s="82"/>
    </row>
    <row r="99" spans="2:7" s="37" customFormat="1" ht="15" customHeight="1">
      <c r="B99" s="156"/>
      <c r="C99" s="157" t="s">
        <v>284</v>
      </c>
      <c r="D99" s="155">
        <v>250</v>
      </c>
      <c r="E99" s="37" t="s">
        <v>134</v>
      </c>
      <c r="F99" s="82"/>
      <c r="G99" s="82"/>
    </row>
    <row r="100" spans="2:7" s="37" customFormat="1" ht="15" customHeight="1">
      <c r="B100" s="156"/>
      <c r="C100" s="157" t="s">
        <v>285</v>
      </c>
      <c r="D100" s="155">
        <v>250</v>
      </c>
      <c r="E100" s="37" t="s">
        <v>134</v>
      </c>
      <c r="F100" s="82"/>
      <c r="G100" s="82"/>
    </row>
    <row r="101" spans="2:7" s="37" customFormat="1" ht="15" customHeight="1">
      <c r="B101" s="156"/>
      <c r="C101" s="165" t="s">
        <v>286</v>
      </c>
      <c r="D101" s="155">
        <v>20000</v>
      </c>
      <c r="E101" s="37" t="s">
        <v>99</v>
      </c>
      <c r="F101" s="82" t="s">
        <v>592</v>
      </c>
      <c r="G101" s="82"/>
    </row>
    <row r="102" spans="2:7" s="37" customFormat="1" ht="15" customHeight="1">
      <c r="B102" s="156"/>
      <c r="C102" s="165" t="s">
        <v>287</v>
      </c>
      <c r="D102" s="155">
        <v>60</v>
      </c>
      <c r="E102" s="37" t="s">
        <v>53</v>
      </c>
      <c r="F102" s="82"/>
      <c r="G102" s="82"/>
    </row>
    <row r="103" spans="2:7" s="37" customFormat="1" ht="15" customHeight="1">
      <c r="B103" s="156"/>
      <c r="C103" s="165" t="s">
        <v>288</v>
      </c>
      <c r="D103" s="155">
        <v>450</v>
      </c>
      <c r="E103" s="37" t="s">
        <v>134</v>
      </c>
      <c r="F103" s="82" t="s">
        <v>289</v>
      </c>
      <c r="G103" s="82"/>
    </row>
    <row r="104" spans="2:7" s="37" customFormat="1" ht="15" customHeight="1">
      <c r="B104" s="156"/>
      <c r="C104" s="165" t="s">
        <v>290</v>
      </c>
      <c r="D104" s="155">
        <v>25000</v>
      </c>
      <c r="E104" s="37" t="s">
        <v>134</v>
      </c>
      <c r="F104" s="82"/>
      <c r="G104" s="82"/>
    </row>
    <row r="105" spans="2:7" s="37" customFormat="1" ht="15" customHeight="1">
      <c r="B105" s="156"/>
      <c r="C105" s="165" t="s">
        <v>291</v>
      </c>
      <c r="D105" s="155">
        <v>10000</v>
      </c>
      <c r="E105" s="37" t="s">
        <v>134</v>
      </c>
      <c r="F105" s="82"/>
      <c r="G105" s="82"/>
    </row>
    <row r="106" spans="2:7" s="37" customFormat="1" ht="15" customHeight="1">
      <c r="B106" s="156"/>
      <c r="C106" s="165" t="s">
        <v>292</v>
      </c>
      <c r="D106" s="155">
        <v>10000</v>
      </c>
      <c r="E106" s="37" t="s">
        <v>134</v>
      </c>
      <c r="F106" s="82"/>
      <c r="G106" s="82"/>
    </row>
    <row r="107" spans="2:7" s="37" customFormat="1" ht="15" customHeight="1">
      <c r="B107" s="156"/>
      <c r="C107" s="165" t="s">
        <v>293</v>
      </c>
      <c r="D107" s="155">
        <v>8000</v>
      </c>
      <c r="E107" s="37" t="s">
        <v>169</v>
      </c>
      <c r="F107" s="82"/>
      <c r="G107" s="82"/>
    </row>
    <row r="108" spans="2:7" s="37" customFormat="1" ht="15" customHeight="1">
      <c r="B108" s="158"/>
      <c r="C108" s="165" t="s">
        <v>294</v>
      </c>
      <c r="D108" s="155">
        <v>10000</v>
      </c>
      <c r="E108" s="37" t="s">
        <v>134</v>
      </c>
      <c r="F108" s="82"/>
      <c r="G108" s="82"/>
    </row>
    <row r="109" spans="2:7" s="37" customFormat="1" ht="15" customHeight="1">
      <c r="B109" s="153" t="s">
        <v>295</v>
      </c>
      <c r="C109" s="157" t="s">
        <v>296</v>
      </c>
      <c r="D109" s="155">
        <v>285.60000000000002</v>
      </c>
      <c r="E109" s="37" t="s">
        <v>134</v>
      </c>
      <c r="F109" s="82"/>
      <c r="G109" s="82"/>
    </row>
    <row r="110" spans="2:7" s="37" customFormat="1" ht="15" customHeight="1">
      <c r="B110" s="156"/>
      <c r="C110" s="157" t="s">
        <v>297</v>
      </c>
      <c r="D110" s="155">
        <v>65</v>
      </c>
      <c r="E110" s="37" t="s">
        <v>134</v>
      </c>
      <c r="F110" s="82"/>
      <c r="G110" s="82"/>
    </row>
    <row r="111" spans="2:7" s="37" customFormat="1" ht="15" customHeight="1">
      <c r="B111" s="156"/>
      <c r="C111" s="157" t="s">
        <v>298</v>
      </c>
      <c r="D111" s="155">
        <v>180</v>
      </c>
      <c r="E111" s="37" t="s">
        <v>299</v>
      </c>
      <c r="F111" s="82"/>
      <c r="G111" s="82"/>
    </row>
    <row r="112" spans="2:7" s="37" customFormat="1" ht="15" customHeight="1">
      <c r="B112" s="156"/>
      <c r="C112" s="157" t="s">
        <v>300</v>
      </c>
      <c r="D112" s="155">
        <v>102</v>
      </c>
      <c r="E112" s="37" t="s">
        <v>134</v>
      </c>
      <c r="F112" s="82"/>
      <c r="G112" s="82"/>
    </row>
    <row r="113" spans="2:7" s="37" customFormat="1" ht="15" customHeight="1">
      <c r="B113" s="158"/>
      <c r="C113" s="157" t="s">
        <v>301</v>
      </c>
      <c r="D113" s="155">
        <v>200</v>
      </c>
      <c r="E113" s="37" t="s">
        <v>134</v>
      </c>
      <c r="F113" s="82"/>
      <c r="G113" s="82"/>
    </row>
    <row r="114" spans="2:7" s="37" customFormat="1" ht="15" customHeight="1">
      <c r="B114" s="159" t="s">
        <v>302</v>
      </c>
      <c r="C114" s="157" t="s">
        <v>303</v>
      </c>
      <c r="D114" s="155">
        <v>493.15068493150687</v>
      </c>
      <c r="E114" s="37" t="s">
        <v>134</v>
      </c>
      <c r="F114" s="82"/>
      <c r="G114" s="82" t="s">
        <v>712</v>
      </c>
    </row>
    <row r="115" spans="2:7" s="37" customFormat="1" ht="15" customHeight="1">
      <c r="B115" s="160"/>
      <c r="C115" s="157" t="s">
        <v>304</v>
      </c>
      <c r="D115" s="155">
        <v>482.1917808219178</v>
      </c>
      <c r="E115" s="37" t="s">
        <v>134</v>
      </c>
      <c r="F115" s="82" t="s">
        <v>592</v>
      </c>
      <c r="G115" s="82"/>
    </row>
    <row r="116" spans="2:7" s="37" customFormat="1" ht="15" customHeight="1">
      <c r="B116" s="160"/>
      <c r="C116" s="157" t="s">
        <v>305</v>
      </c>
      <c r="D116" s="155">
        <v>210.95890410958904</v>
      </c>
      <c r="E116" s="37" t="s">
        <v>134</v>
      </c>
      <c r="F116" s="82"/>
      <c r="G116" s="82"/>
    </row>
    <row r="117" spans="2:7" s="37" customFormat="1" ht="15" customHeight="1">
      <c r="B117" s="160"/>
      <c r="C117" s="157" t="s">
        <v>306</v>
      </c>
      <c r="D117" s="155">
        <v>1.3</v>
      </c>
      <c r="E117" s="37" t="s">
        <v>307</v>
      </c>
      <c r="F117" s="82"/>
      <c r="G117" s="82"/>
    </row>
    <row r="118" spans="2:7" s="37" customFormat="1" ht="15" customHeight="1">
      <c r="B118" s="160"/>
      <c r="C118" s="157" t="s">
        <v>308</v>
      </c>
      <c r="D118" s="155">
        <v>1</v>
      </c>
      <c r="E118" s="37" t="s">
        <v>307</v>
      </c>
      <c r="F118" s="82"/>
      <c r="G118" s="82"/>
    </row>
    <row r="119" spans="2:7" s="37" customFormat="1" ht="15" customHeight="1">
      <c r="B119" s="160"/>
      <c r="C119" s="157" t="s">
        <v>309</v>
      </c>
      <c r="D119" s="155">
        <v>11.5</v>
      </c>
      <c r="E119" s="37" t="s">
        <v>307</v>
      </c>
      <c r="F119" s="82"/>
      <c r="G119" s="82"/>
    </row>
    <row r="120" spans="2:7" s="37" customFormat="1" ht="15" customHeight="1">
      <c r="B120" s="160"/>
      <c r="C120" s="157" t="s">
        <v>310</v>
      </c>
      <c r="D120" s="155">
        <v>250</v>
      </c>
      <c r="E120" s="37" t="s">
        <v>134</v>
      </c>
      <c r="F120" s="82"/>
      <c r="G120" s="82"/>
    </row>
    <row r="121" spans="2:7" s="37" customFormat="1" ht="15" customHeight="1">
      <c r="B121" s="166" t="s">
        <v>311</v>
      </c>
      <c r="C121" s="154" t="s">
        <v>703</v>
      </c>
      <c r="D121" s="155">
        <v>76.117465037952002</v>
      </c>
      <c r="E121" s="37" t="s">
        <v>312</v>
      </c>
      <c r="F121" s="167"/>
      <c r="G121" s="167" t="s">
        <v>722</v>
      </c>
    </row>
    <row r="122" spans="2:7" s="37" customFormat="1" ht="15" customHeight="1">
      <c r="B122" s="166"/>
      <c r="C122" s="154" t="s">
        <v>704</v>
      </c>
      <c r="D122" s="155">
        <v>20.086553273903998</v>
      </c>
      <c r="E122" s="37" t="s">
        <v>312</v>
      </c>
      <c r="F122" s="167"/>
      <c r="G122" s="167" t="s">
        <v>722</v>
      </c>
    </row>
    <row r="123" spans="2:7" s="37" customFormat="1" ht="15" customHeight="1">
      <c r="B123" s="166"/>
      <c r="C123" s="154" t="s">
        <v>705</v>
      </c>
      <c r="D123" s="155">
        <v>53.916537735215996</v>
      </c>
      <c r="E123" s="37" t="s">
        <v>312</v>
      </c>
      <c r="F123" s="167"/>
      <c r="G123" s="167" t="s">
        <v>722</v>
      </c>
    </row>
    <row r="124" spans="2:7" s="37" customFormat="1" ht="15" customHeight="1">
      <c r="G124" s="168"/>
    </row>
    <row r="125" spans="2:7" s="37" customFormat="1" ht="15" customHeight="1">
      <c r="G125" s="168"/>
    </row>
  </sheetData>
  <sheetProtection algorithmName="SHA-512" hashValue="X+BcjyYG6zr2IHrZXsQIpvbz67+BytLlC/txMrBbUfmC68nvDBUUcUydNSJe2pnVl8HgiaeGO4V93x+Tu6JODw==" saltValue="ZiRVvJwItEJ8Zbh6zJhLGg==" spinCount="100000" sheet="1" objects="1" scenarios="1" autoFilter="0"/>
  <mergeCells count="13">
    <mergeCell ref="B79:B86"/>
    <mergeCell ref="B51:B61"/>
    <mergeCell ref="B8:B24"/>
    <mergeCell ref="B70:B78"/>
    <mergeCell ref="B25:B28"/>
    <mergeCell ref="B38:B50"/>
    <mergeCell ref="B29:B37"/>
    <mergeCell ref="B62:B69"/>
    <mergeCell ref="B121:B123"/>
    <mergeCell ref="B87:B97"/>
    <mergeCell ref="B109:B113"/>
    <mergeCell ref="B114:B120"/>
    <mergeCell ref="B98:B108"/>
  </mergeCells>
  <phoneticPr fontId="7" type="noConversion"/>
  <hyperlinks>
    <hyperlink ref="C3" location="Information" display="Return to Information" xr:uid="{20AE6A8B-96ED-4029-A7F8-6BDA63529CF1}"/>
    <hyperlink ref="G87" r:id="rId1" display="https://srwra.com.au/media-downloads/gate-fees/Gate Fees 2025 - 2026.pdf" xr:uid="{27CC53A9-7C89-4565-90DA-E8D2DDD34304}"/>
    <hyperlink ref="G95" r:id="rId2" xr:uid="{9257BC96-E141-4F47-9DC9-3E5BB34A9191}"/>
    <hyperlink ref="G96" r:id="rId3" xr:uid="{319485FD-11CB-4065-A16B-B38E54A8063F}"/>
    <hyperlink ref="G97" r:id="rId4" xr:uid="{EF755AFC-8ED7-45B3-AD3D-9C3B143777D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7BDCF-3B1F-452C-92A1-C749C73F1F04}">
  <sheetPr codeName="Sheet9">
    <tabColor theme="5" tint="0.39997558519241921"/>
  </sheetPr>
  <dimension ref="B2:F144"/>
  <sheetViews>
    <sheetView showGridLines="0" zoomScaleNormal="100" workbookViewId="0">
      <pane ySplit="7" topLeftCell="A8" activePane="bottomLeft" state="frozen"/>
      <selection pane="bottomLeft"/>
    </sheetView>
  </sheetViews>
  <sheetFormatPr defaultColWidth="8.7265625" defaultRowHeight="12.5"/>
  <cols>
    <col min="1" max="1" width="3.90625" style="37" customWidth="1"/>
    <col min="2" max="2" width="61.81640625" style="37" customWidth="1"/>
    <col min="3" max="3" width="12.08984375" style="39" customWidth="1"/>
    <col min="4" max="4" width="12.08984375" style="37" customWidth="1"/>
    <col min="5" max="5" width="64.1796875" style="37" customWidth="1"/>
    <col min="6" max="6" width="88.26953125" style="37" customWidth="1"/>
    <col min="7" max="7" width="11.453125" style="37" bestFit="1" customWidth="1"/>
    <col min="8" max="8" width="13.81640625" style="37" bestFit="1" customWidth="1"/>
    <col min="9" max="9" width="8.54296875" style="37" bestFit="1" customWidth="1"/>
    <col min="10" max="16375" width="8.7265625" style="37"/>
    <col min="16376" max="16382" width="8.7265625" style="37" bestFit="1"/>
    <col min="16383" max="16384" width="8.7265625" style="37"/>
  </cols>
  <sheetData>
    <row r="2" spans="2:6" s="37" customFormat="1" ht="13">
      <c r="B2" s="38" t="str">
        <f>Project_Name</f>
        <v>South Australia Oil and Gas Financial Assurance Calculator</v>
      </c>
    </row>
    <row r="3" spans="2:6" s="37" customFormat="1"/>
    <row r="4" spans="2:6" s="37" customFormat="1" ht="13">
      <c r="B4" s="49" t="s">
        <v>20</v>
      </c>
      <c r="C4" s="78"/>
      <c r="D4" s="78"/>
      <c r="E4" s="78"/>
      <c r="F4" s="78"/>
    </row>
    <row r="5" spans="2:6" s="37" customFormat="1">
      <c r="B5" s="107" t="s">
        <v>24</v>
      </c>
    </row>
    <row r="6" spans="2:6" s="37" customFormat="1" ht="13.5" customHeight="1">
      <c r="B6" s="169" t="s">
        <v>374</v>
      </c>
      <c r="C6" s="170" t="s">
        <v>42</v>
      </c>
      <c r="D6" s="169" t="s">
        <v>39</v>
      </c>
      <c r="E6" s="169" t="s">
        <v>375</v>
      </c>
      <c r="F6" s="169" t="s">
        <v>376</v>
      </c>
    </row>
    <row r="7" spans="2:6" s="37" customFormat="1" ht="5.25" customHeight="1">
      <c r="B7" s="171"/>
      <c r="C7" s="171"/>
      <c r="D7" s="171"/>
      <c r="E7" s="171"/>
      <c r="F7" s="171"/>
    </row>
    <row r="8" spans="2:6" s="3" customFormat="1" ht="13">
      <c r="B8" s="13" t="s">
        <v>148</v>
      </c>
    </row>
    <row r="9" spans="2:6" s="3" customFormat="1">
      <c r="B9" s="172" t="s">
        <v>668</v>
      </c>
      <c r="C9" s="173">
        <v>150</v>
      </c>
      <c r="D9" s="174" t="s">
        <v>116</v>
      </c>
      <c r="E9" s="157"/>
      <c r="F9" s="157"/>
    </row>
    <row r="10" spans="2:6" s="3" customFormat="1">
      <c r="B10" s="172" t="s">
        <v>669</v>
      </c>
      <c r="C10" s="173">
        <v>100</v>
      </c>
      <c r="D10" s="174" t="s">
        <v>116</v>
      </c>
      <c r="E10" s="157"/>
      <c r="F10" s="157"/>
    </row>
    <row r="11" spans="2:6" s="3" customFormat="1">
      <c r="B11" s="172" t="s">
        <v>670</v>
      </c>
      <c r="C11" s="173">
        <v>0</v>
      </c>
      <c r="D11" s="174" t="s">
        <v>116</v>
      </c>
      <c r="E11" s="157"/>
      <c r="F11" s="157"/>
    </row>
    <row r="12" spans="2:6" s="3" customFormat="1">
      <c r="B12" s="172" t="s">
        <v>724</v>
      </c>
      <c r="C12" s="173">
        <v>150</v>
      </c>
      <c r="D12" s="174" t="s">
        <v>116</v>
      </c>
      <c r="E12" s="157"/>
      <c r="F12" s="157"/>
    </row>
    <row r="13" spans="2:6" s="3" customFormat="1">
      <c r="B13" s="172" t="s">
        <v>669</v>
      </c>
      <c r="C13" s="173">
        <v>100</v>
      </c>
      <c r="D13" s="174" t="s">
        <v>116</v>
      </c>
      <c r="E13" s="157"/>
      <c r="F13" s="157"/>
    </row>
    <row r="14" spans="2:6" s="3" customFormat="1">
      <c r="B14" s="172" t="s">
        <v>670</v>
      </c>
      <c r="C14" s="173">
        <v>100</v>
      </c>
      <c r="D14" s="174" t="s">
        <v>116</v>
      </c>
      <c r="E14" s="157"/>
      <c r="F14" s="157"/>
    </row>
    <row r="15" spans="2:6" s="3" customFormat="1"/>
    <row r="16" spans="2:6" s="37" customFormat="1" ht="13">
      <c r="B16" s="152" t="s">
        <v>364</v>
      </c>
      <c r="C16" s="39"/>
      <c r="D16" s="39"/>
    </row>
    <row r="17" spans="2:6" s="37" customFormat="1">
      <c r="B17" s="148" t="s">
        <v>377</v>
      </c>
      <c r="C17" s="173">
        <v>60</v>
      </c>
      <c r="D17" s="174" t="s">
        <v>378</v>
      </c>
      <c r="E17" s="157"/>
      <c r="F17" s="157"/>
    </row>
    <row r="18" spans="2:6" s="37" customFormat="1">
      <c r="B18" s="148" t="s">
        <v>379</v>
      </c>
      <c r="C18" s="175">
        <v>1000</v>
      </c>
      <c r="D18" s="174" t="s">
        <v>380</v>
      </c>
      <c r="E18" s="157"/>
      <c r="F18" s="157"/>
    </row>
    <row r="19" spans="2:6" s="37" customFormat="1">
      <c r="B19" s="148" t="s">
        <v>381</v>
      </c>
      <c r="C19" s="175">
        <v>1000</v>
      </c>
      <c r="D19" s="174" t="s">
        <v>382</v>
      </c>
      <c r="E19" s="157"/>
      <c r="F19" s="157"/>
    </row>
    <row r="20" spans="2:6" s="37" customFormat="1">
      <c r="B20" s="148" t="s">
        <v>383</v>
      </c>
      <c r="C20" s="175">
        <v>10000</v>
      </c>
      <c r="D20" s="174" t="s">
        <v>384</v>
      </c>
      <c r="E20" s="157"/>
      <c r="F20" s="157"/>
    </row>
    <row r="21" spans="2:6" s="37" customFormat="1">
      <c r="B21" s="82" t="s">
        <v>385</v>
      </c>
      <c r="C21" s="175">
        <v>1000</v>
      </c>
      <c r="D21" s="174" t="s">
        <v>386</v>
      </c>
      <c r="E21" s="157"/>
      <c r="F21" s="157"/>
    </row>
    <row r="22" spans="2:6" s="37" customFormat="1">
      <c r="B22" s="82" t="s">
        <v>387</v>
      </c>
      <c r="C22" s="175">
        <v>1000</v>
      </c>
      <c r="D22" s="174" t="s">
        <v>388</v>
      </c>
      <c r="E22" s="157"/>
      <c r="F22" s="157"/>
    </row>
    <row r="23" spans="2:6" s="37" customFormat="1">
      <c r="B23" s="82" t="s">
        <v>389</v>
      </c>
      <c r="C23" s="175">
        <v>17</v>
      </c>
      <c r="D23" s="174"/>
      <c r="E23" s="157"/>
      <c r="F23" s="157"/>
    </row>
    <row r="24" spans="2:6" s="37" customFormat="1">
      <c r="B24" s="82" t="s">
        <v>390</v>
      </c>
      <c r="C24" s="176">
        <v>16.666666666666668</v>
      </c>
      <c r="D24" s="174" t="s">
        <v>391</v>
      </c>
      <c r="E24" s="157"/>
      <c r="F24" s="157"/>
    </row>
    <row r="25" spans="2:6" s="37" customFormat="1">
      <c r="B25" s="82" t="s">
        <v>392</v>
      </c>
      <c r="C25" s="176">
        <v>0.25</v>
      </c>
      <c r="D25" s="174" t="s">
        <v>391</v>
      </c>
      <c r="E25" s="157"/>
      <c r="F25" s="157"/>
    </row>
    <row r="26" spans="2:6" s="37" customFormat="1"/>
    <row r="27" spans="2:6" s="37" customFormat="1" ht="13">
      <c r="B27" s="152" t="s">
        <v>442</v>
      </c>
    </row>
    <row r="28" spans="2:6" s="37" customFormat="1">
      <c r="B28" s="82" t="s">
        <v>368</v>
      </c>
      <c r="C28" s="177">
        <v>2.0999999999999999E-3</v>
      </c>
      <c r="D28" s="174" t="s">
        <v>367</v>
      </c>
      <c r="E28" s="167"/>
      <c r="F28" s="167"/>
    </row>
    <row r="29" spans="2:6" s="37" customFormat="1">
      <c r="B29" s="82" t="s">
        <v>443</v>
      </c>
      <c r="C29" s="178">
        <v>0.5</v>
      </c>
      <c r="D29" s="174" t="s">
        <v>90</v>
      </c>
      <c r="E29" s="167"/>
      <c r="F29" s="167"/>
    </row>
    <row r="30" spans="2:6" s="37" customFormat="1">
      <c r="B30" s="82" t="s">
        <v>444</v>
      </c>
      <c r="C30" s="178">
        <v>0.3</v>
      </c>
      <c r="D30" s="174" t="str">
        <f>D29</f>
        <v>m</v>
      </c>
      <c r="E30" s="167"/>
      <c r="F30" s="167"/>
    </row>
    <row r="31" spans="2:6" s="37" customFormat="1">
      <c r="B31" s="82" t="s">
        <v>445</v>
      </c>
      <c r="C31" s="178">
        <v>1.2</v>
      </c>
      <c r="D31" s="174" t="s">
        <v>111</v>
      </c>
      <c r="E31" s="167"/>
      <c r="F31" s="167"/>
    </row>
    <row r="32" spans="2:6" s="37" customFormat="1">
      <c r="B32" s="82" t="s">
        <v>446</v>
      </c>
      <c r="C32" s="179">
        <v>150</v>
      </c>
      <c r="D32" s="174" t="s">
        <v>116</v>
      </c>
      <c r="E32" s="167"/>
      <c r="F32" s="167"/>
    </row>
    <row r="33" spans="2:6" s="37" customFormat="1"/>
    <row r="34" spans="2:6" s="37" customFormat="1" ht="13">
      <c r="B34" s="152" t="s">
        <v>434</v>
      </c>
    </row>
    <row r="35" spans="2:6" s="37" customFormat="1">
      <c r="B35" s="82" t="s">
        <v>435</v>
      </c>
      <c r="C35" s="179">
        <v>73.86</v>
      </c>
      <c r="D35" s="174" t="s">
        <v>369</v>
      </c>
      <c r="E35" s="167"/>
      <c r="F35" s="167"/>
    </row>
    <row r="36" spans="2:6" s="37" customFormat="1">
      <c r="B36" s="82" t="s">
        <v>436</v>
      </c>
      <c r="C36" s="179">
        <v>105.17</v>
      </c>
      <c r="D36" s="174" t="s">
        <v>369</v>
      </c>
      <c r="E36" s="167"/>
      <c r="F36" s="167"/>
    </row>
    <row r="37" spans="2:6" s="37" customFormat="1">
      <c r="B37" s="82" t="s">
        <v>437</v>
      </c>
      <c r="C37" s="179">
        <v>141.12</v>
      </c>
      <c r="D37" s="174" t="s">
        <v>369</v>
      </c>
      <c r="E37" s="167"/>
      <c r="F37" s="167"/>
    </row>
    <row r="38" spans="2:6" s="37" customFormat="1">
      <c r="B38" s="82" t="s">
        <v>438</v>
      </c>
      <c r="C38" s="179">
        <v>22</v>
      </c>
      <c r="D38" s="174" t="s">
        <v>369</v>
      </c>
      <c r="E38" s="167"/>
      <c r="F38" s="167"/>
    </row>
    <row r="39" spans="2:6" s="37" customFormat="1">
      <c r="B39" s="82" t="s">
        <v>439</v>
      </c>
      <c r="C39" s="180">
        <v>0.5</v>
      </c>
      <c r="D39" s="174"/>
      <c r="E39" s="167"/>
      <c r="F39" s="167"/>
    </row>
    <row r="40" spans="2:6" s="37" customFormat="1">
      <c r="B40" s="82" t="s">
        <v>440</v>
      </c>
      <c r="C40" s="180">
        <v>0.96</v>
      </c>
      <c r="D40" s="174" t="s">
        <v>441</v>
      </c>
      <c r="E40" s="167"/>
      <c r="F40" s="167"/>
    </row>
    <row r="41" spans="2:6" s="37" customFormat="1"/>
    <row r="42" spans="2:6" s="37" customFormat="1" ht="13">
      <c r="B42" s="169" t="s">
        <v>88</v>
      </c>
      <c r="C42" s="181"/>
      <c r="D42" s="181"/>
      <c r="E42" s="171"/>
    </row>
    <row r="43" spans="2:6" s="37" customFormat="1" ht="13">
      <c r="B43" s="182" t="str">
        <f>Top_soil</f>
        <v>Top soil</v>
      </c>
      <c r="C43" s="179">
        <v>150</v>
      </c>
      <c r="D43" s="183" t="s">
        <v>116</v>
      </c>
      <c r="E43" s="184"/>
      <c r="F43" s="157"/>
    </row>
    <row r="44" spans="2:6" s="37" customFormat="1" ht="13">
      <c r="B44" s="182" t="s">
        <v>393</v>
      </c>
      <c r="C44" s="180">
        <v>2.5</v>
      </c>
      <c r="D44" s="183" t="s">
        <v>92</v>
      </c>
      <c r="E44" s="184"/>
      <c r="F44" s="157"/>
    </row>
    <row r="45" spans="2:6" s="37" customFormat="1" ht="13">
      <c r="B45" s="182" t="s">
        <v>93</v>
      </c>
      <c r="C45" s="180">
        <v>10</v>
      </c>
      <c r="D45" s="183" t="s">
        <v>92</v>
      </c>
      <c r="E45" s="184"/>
      <c r="F45" s="157"/>
    </row>
    <row r="46" spans="2:6" s="37" customFormat="1" ht="13">
      <c r="B46" s="182" t="s">
        <v>225</v>
      </c>
      <c r="C46" s="180">
        <v>2</v>
      </c>
      <c r="D46" s="183" t="s">
        <v>92</v>
      </c>
      <c r="E46" s="184"/>
      <c r="F46" s="157"/>
    </row>
    <row r="47" spans="2:6" s="37" customFormat="1" ht="13">
      <c r="B47" s="182" t="s">
        <v>226</v>
      </c>
      <c r="C47" s="180">
        <v>50</v>
      </c>
      <c r="D47" s="183" t="s">
        <v>92</v>
      </c>
      <c r="E47" s="184"/>
      <c r="F47" s="157"/>
    </row>
    <row r="48" spans="2:6" s="37" customFormat="1" ht="13">
      <c r="B48" s="182" t="s">
        <v>227</v>
      </c>
      <c r="C48" s="180">
        <v>5</v>
      </c>
      <c r="D48" s="183" t="s">
        <v>92</v>
      </c>
      <c r="E48" s="184"/>
      <c r="F48" s="157"/>
    </row>
    <row r="49" spans="2:6" s="37" customFormat="1" ht="13">
      <c r="B49" s="182" t="s">
        <v>228</v>
      </c>
      <c r="C49" s="180">
        <v>0.25</v>
      </c>
      <c r="D49" s="183" t="s">
        <v>92</v>
      </c>
      <c r="E49" s="184"/>
      <c r="F49" s="157"/>
    </row>
    <row r="50" spans="2:6" s="37" customFormat="1" ht="13">
      <c r="B50" s="182" t="s">
        <v>229</v>
      </c>
      <c r="C50" s="180">
        <v>0.1</v>
      </c>
      <c r="D50" s="183" t="s">
        <v>92</v>
      </c>
      <c r="E50" s="184"/>
      <c r="F50" s="157"/>
    </row>
    <row r="51" spans="2:6" s="37" customFormat="1" ht="13">
      <c r="B51" s="182" t="s">
        <v>231</v>
      </c>
      <c r="C51" s="180">
        <v>7</v>
      </c>
      <c r="D51" s="183" t="s">
        <v>394</v>
      </c>
      <c r="E51" s="184"/>
      <c r="F51" s="157"/>
    </row>
    <row r="52" spans="2:6" s="37" customFormat="1" ht="13">
      <c r="B52" s="182" t="s">
        <v>233</v>
      </c>
      <c r="C52" s="180">
        <v>7</v>
      </c>
      <c r="D52" s="183" t="s">
        <v>394</v>
      </c>
      <c r="E52" s="184"/>
      <c r="F52" s="157"/>
    </row>
    <row r="53" spans="2:6" s="37" customFormat="1" ht="13">
      <c r="B53" s="182" t="s">
        <v>234</v>
      </c>
      <c r="C53" s="180">
        <v>150</v>
      </c>
      <c r="D53" s="183" t="s">
        <v>395</v>
      </c>
      <c r="E53" s="184"/>
      <c r="F53" s="157"/>
    </row>
    <row r="54" spans="2:6" s="37" customFormat="1" ht="13">
      <c r="B54" s="182" t="s">
        <v>235</v>
      </c>
      <c r="C54" s="180">
        <v>75</v>
      </c>
      <c r="D54" s="183" t="s">
        <v>396</v>
      </c>
      <c r="E54" s="184"/>
      <c r="F54" s="157"/>
    </row>
    <row r="55" spans="2:6" s="37" customFormat="1"/>
    <row r="56" spans="2:6" s="37" customFormat="1" ht="13">
      <c r="B56" s="152" t="s">
        <v>651</v>
      </c>
    </row>
    <row r="57" spans="2:6" s="37" customFormat="1" ht="13">
      <c r="B57" s="182" t="s">
        <v>780</v>
      </c>
      <c r="C57" s="180" t="s">
        <v>503</v>
      </c>
      <c r="D57" s="174" t="s">
        <v>53</v>
      </c>
      <c r="E57" s="184"/>
      <c r="F57" s="157"/>
    </row>
    <row r="58" spans="2:6" s="37" customFormat="1">
      <c r="B58" s="82" t="s">
        <v>418</v>
      </c>
      <c r="C58" s="178" t="s">
        <v>503</v>
      </c>
      <c r="D58" s="174" t="s">
        <v>53</v>
      </c>
      <c r="E58" s="157"/>
      <c r="F58" s="82" t="s">
        <v>420</v>
      </c>
    </row>
    <row r="59" spans="2:6" s="37" customFormat="1">
      <c r="B59" s="82" t="s">
        <v>421</v>
      </c>
      <c r="C59" s="178" t="s">
        <v>503</v>
      </c>
      <c r="D59" s="174" t="s">
        <v>53</v>
      </c>
      <c r="E59" s="157"/>
      <c r="F59" s="82"/>
    </row>
    <row r="60" spans="2:6" s="37" customFormat="1">
      <c r="B60" s="82" t="s">
        <v>827</v>
      </c>
      <c r="C60" s="178" t="s">
        <v>503</v>
      </c>
      <c r="D60" s="174" t="s">
        <v>53</v>
      </c>
      <c r="E60" s="157"/>
      <c r="F60" s="157" t="s">
        <v>828</v>
      </c>
    </row>
    <row r="61" spans="2:6" s="37" customFormat="1">
      <c r="B61" s="82" t="s">
        <v>422</v>
      </c>
      <c r="C61" s="178" t="s">
        <v>503</v>
      </c>
      <c r="D61" s="174" t="s">
        <v>53</v>
      </c>
      <c r="E61" s="157"/>
      <c r="F61" s="167"/>
    </row>
    <row r="62" spans="2:6" s="37" customFormat="1">
      <c r="B62" s="82" t="s">
        <v>423</v>
      </c>
      <c r="C62" s="178" t="s">
        <v>503</v>
      </c>
      <c r="D62" s="174" t="s">
        <v>53</v>
      </c>
      <c r="E62" s="157"/>
      <c r="F62" s="167"/>
    </row>
    <row r="63" spans="2:6" s="37" customFormat="1">
      <c r="B63" s="82" t="s">
        <v>424</v>
      </c>
      <c r="C63" s="178" t="s">
        <v>494</v>
      </c>
      <c r="D63" s="174" t="s">
        <v>53</v>
      </c>
      <c r="E63" s="157"/>
      <c r="F63" s="167"/>
    </row>
    <row r="64" spans="2:6" s="37" customFormat="1"/>
    <row r="65" spans="2:6" s="37" customFormat="1" ht="13">
      <c r="B65" s="152" t="s">
        <v>425</v>
      </c>
    </row>
    <row r="66" spans="2:6" s="37" customFormat="1">
      <c r="B66" s="82" t="s">
        <v>426</v>
      </c>
      <c r="C66" s="178">
        <v>10</v>
      </c>
      <c r="D66" s="174" t="s">
        <v>128</v>
      </c>
      <c r="E66" s="157"/>
      <c r="F66" s="157"/>
    </row>
    <row r="67" spans="2:6" s="37" customFormat="1">
      <c r="B67" s="82" t="s">
        <v>427</v>
      </c>
      <c r="C67" s="178">
        <v>0.34</v>
      </c>
      <c r="D67" s="174" t="s">
        <v>428</v>
      </c>
      <c r="E67" s="157" t="s">
        <v>429</v>
      </c>
      <c r="F67" s="157" t="s">
        <v>430</v>
      </c>
    </row>
    <row r="68" spans="2:6" s="37" customFormat="1"/>
    <row r="69" spans="2:6" s="37" customFormat="1" ht="13">
      <c r="B69" s="152" t="s">
        <v>411</v>
      </c>
      <c r="C69" s="39"/>
      <c r="D69" s="39"/>
    </row>
    <row r="70" spans="2:6" s="37" customFormat="1">
      <c r="B70" s="82" t="s">
        <v>102</v>
      </c>
      <c r="C70" s="185">
        <v>0.1</v>
      </c>
      <c r="D70" s="174"/>
      <c r="E70" s="157" t="s">
        <v>655</v>
      </c>
      <c r="F70" s="82"/>
    </row>
    <row r="71" spans="2:6" s="37" customFormat="1">
      <c r="B71" s="82" t="s">
        <v>103</v>
      </c>
      <c r="C71" s="185">
        <v>0.05</v>
      </c>
      <c r="D71" s="174"/>
      <c r="E71" s="157" t="s">
        <v>655</v>
      </c>
      <c r="F71" s="157"/>
    </row>
    <row r="72" spans="2:6" s="37" customFormat="1">
      <c r="B72" s="82" t="s">
        <v>104</v>
      </c>
      <c r="C72" s="185">
        <v>0.1</v>
      </c>
      <c r="D72" s="174"/>
      <c r="E72" s="157" t="s">
        <v>655</v>
      </c>
      <c r="F72" s="157"/>
    </row>
    <row r="73" spans="2:6" s="37" customFormat="1"/>
    <row r="74" spans="2:6" s="37" customFormat="1" ht="13">
      <c r="B74" s="152" t="s">
        <v>653</v>
      </c>
      <c r="C74" s="39"/>
      <c r="D74" s="39"/>
    </row>
    <row r="75" spans="2:6" s="37" customFormat="1" ht="14.5">
      <c r="B75" s="82" t="s">
        <v>402</v>
      </c>
      <c r="C75" s="180">
        <v>2.4</v>
      </c>
      <c r="D75" s="174" t="s">
        <v>403</v>
      </c>
      <c r="E75" s="157"/>
      <c r="F75" s="157"/>
    </row>
    <row r="76" spans="2:6" s="37" customFormat="1">
      <c r="B76" s="82" t="s">
        <v>656</v>
      </c>
      <c r="C76" s="179">
        <v>200</v>
      </c>
      <c r="D76" s="174" t="s">
        <v>116</v>
      </c>
      <c r="E76" s="157"/>
      <c r="F76" s="157"/>
    </row>
    <row r="77" spans="2:6" s="37" customFormat="1">
      <c r="B77" s="82" t="s">
        <v>415</v>
      </c>
      <c r="C77" s="179">
        <v>150</v>
      </c>
      <c r="D77" s="174" t="s">
        <v>116</v>
      </c>
      <c r="E77" s="157"/>
      <c r="F77" s="157"/>
    </row>
    <row r="78" spans="2:6" s="37" customFormat="1">
      <c r="B78" s="82" t="s">
        <v>416</v>
      </c>
      <c r="C78" s="179">
        <v>250</v>
      </c>
      <c r="D78" s="174" t="s">
        <v>116</v>
      </c>
      <c r="E78" s="157"/>
      <c r="F78" s="157"/>
    </row>
    <row r="79" spans="2:6" s="37" customFormat="1">
      <c r="B79" s="82" t="s">
        <v>417</v>
      </c>
      <c r="C79" s="179">
        <v>200</v>
      </c>
      <c r="D79" s="174" t="s">
        <v>116</v>
      </c>
      <c r="E79" s="157"/>
      <c r="F79" s="157"/>
    </row>
    <row r="80" spans="2:6" s="37" customFormat="1">
      <c r="B80" s="82" t="s">
        <v>657</v>
      </c>
      <c r="C80" s="179">
        <v>150</v>
      </c>
      <c r="D80" s="174" t="s">
        <v>116</v>
      </c>
      <c r="E80" s="157"/>
      <c r="F80" s="157"/>
    </row>
    <row r="81" spans="2:6" s="37" customFormat="1">
      <c r="B81" s="82" t="s">
        <v>658</v>
      </c>
      <c r="C81" s="179">
        <v>150</v>
      </c>
      <c r="D81" s="174" t="s">
        <v>116</v>
      </c>
      <c r="E81" s="157"/>
      <c r="F81" s="157"/>
    </row>
    <row r="82" spans="2:6" s="37" customFormat="1">
      <c r="B82" s="82" t="s">
        <v>404</v>
      </c>
      <c r="C82" s="180">
        <v>2</v>
      </c>
      <c r="D82" s="174"/>
      <c r="E82" s="157"/>
      <c r="F82" s="157"/>
    </row>
    <row r="83" spans="2:6" s="37" customFormat="1">
      <c r="B83" s="82" t="s">
        <v>405</v>
      </c>
      <c r="C83" s="180">
        <v>8</v>
      </c>
      <c r="D83" s="174" t="s">
        <v>406</v>
      </c>
      <c r="E83" s="157" t="s">
        <v>407</v>
      </c>
      <c r="F83" s="157"/>
    </row>
    <row r="84" spans="2:6" s="37" customFormat="1">
      <c r="B84" s="82" t="s">
        <v>408</v>
      </c>
      <c r="C84" s="180">
        <v>5.4</v>
      </c>
      <c r="D84" s="174" t="s">
        <v>409</v>
      </c>
      <c r="E84" s="157"/>
      <c r="F84" s="157"/>
    </row>
    <row r="85" spans="2:6" s="37" customFormat="1">
      <c r="B85" s="82" t="s">
        <v>365</v>
      </c>
      <c r="C85" s="180">
        <v>20</v>
      </c>
      <c r="D85" s="174" t="s">
        <v>369</v>
      </c>
      <c r="E85" s="157"/>
      <c r="F85" s="157"/>
    </row>
    <row r="86" spans="2:6" s="37" customFormat="1">
      <c r="B86" s="82" t="s">
        <v>366</v>
      </c>
      <c r="C86" s="180">
        <v>30</v>
      </c>
      <c r="D86" s="174" t="s">
        <v>369</v>
      </c>
      <c r="E86" s="157"/>
      <c r="F86" s="157"/>
    </row>
    <row r="87" spans="2:6" s="37" customFormat="1" ht="14.5">
      <c r="B87" s="82" t="s">
        <v>410</v>
      </c>
      <c r="C87" s="180">
        <v>2</v>
      </c>
      <c r="D87" s="174" t="s">
        <v>403</v>
      </c>
      <c r="E87" s="157"/>
      <c r="F87" s="157"/>
    </row>
    <row r="88" spans="2:6" s="37" customFormat="1">
      <c r="B88" s="82" t="s">
        <v>412</v>
      </c>
      <c r="C88" s="180">
        <v>1.6</v>
      </c>
      <c r="D88" s="174" t="s">
        <v>406</v>
      </c>
      <c r="E88" s="157"/>
      <c r="F88" s="157"/>
    </row>
    <row r="89" spans="2:6" s="37" customFormat="1">
      <c r="B89" s="82" t="s">
        <v>654</v>
      </c>
      <c r="C89" s="180">
        <v>1.8</v>
      </c>
      <c r="D89" s="174" t="s">
        <v>406</v>
      </c>
      <c r="E89" s="157"/>
      <c r="F89" s="157"/>
    </row>
    <row r="90" spans="2:6" s="37" customFormat="1">
      <c r="B90" s="82" t="s">
        <v>413</v>
      </c>
      <c r="C90" s="180">
        <v>1.5</v>
      </c>
      <c r="D90" s="174" t="s">
        <v>406</v>
      </c>
      <c r="E90" s="157"/>
      <c r="F90" s="157"/>
    </row>
    <row r="91" spans="2:6" s="37" customFormat="1"/>
    <row r="92" spans="2:6" s="37" customFormat="1" ht="13">
      <c r="B92" s="152" t="s">
        <v>105</v>
      </c>
    </row>
    <row r="93" spans="2:6" s="37" customFormat="1">
      <c r="B93" s="82" t="s">
        <v>62</v>
      </c>
      <c r="C93" s="177">
        <v>4.0000000000000002E-4</v>
      </c>
      <c r="D93" s="174" t="s">
        <v>54</v>
      </c>
      <c r="E93" s="167"/>
      <c r="F93" s="167"/>
    </row>
    <row r="94" spans="2:6" s="37" customFormat="1">
      <c r="B94" s="82" t="s">
        <v>63</v>
      </c>
      <c r="C94" s="178">
        <v>1</v>
      </c>
      <c r="D94" s="174" t="s">
        <v>54</v>
      </c>
      <c r="E94" s="167"/>
      <c r="F94" s="167"/>
    </row>
    <row r="95" spans="2:6" s="37" customFormat="1">
      <c r="B95" s="82" t="s">
        <v>64</v>
      </c>
      <c r="C95" s="178">
        <v>1</v>
      </c>
      <c r="D95" s="174" t="s">
        <v>54</v>
      </c>
      <c r="E95" s="167"/>
      <c r="F95" s="167"/>
    </row>
    <row r="96" spans="2:6" s="37" customFormat="1">
      <c r="B96" s="82" t="s">
        <v>65</v>
      </c>
      <c r="C96" s="178">
        <v>1</v>
      </c>
      <c r="D96" s="174" t="s">
        <v>54</v>
      </c>
      <c r="E96" s="167"/>
      <c r="F96" s="167"/>
    </row>
    <row r="97" spans="2:6" s="37" customFormat="1">
      <c r="B97" s="82" t="s">
        <v>66</v>
      </c>
      <c r="C97" s="178">
        <v>1</v>
      </c>
      <c r="D97" s="174" t="s">
        <v>54</v>
      </c>
      <c r="E97" s="167"/>
      <c r="F97" s="167"/>
    </row>
    <row r="98" spans="2:6" s="37" customFormat="1">
      <c r="B98" s="82" t="s">
        <v>67</v>
      </c>
      <c r="C98" s="178">
        <v>1</v>
      </c>
      <c r="D98" s="174" t="s">
        <v>54</v>
      </c>
      <c r="E98" s="167"/>
      <c r="F98" s="167"/>
    </row>
    <row r="99" spans="2:6" s="37" customFormat="1">
      <c r="B99" s="82" t="s">
        <v>68</v>
      </c>
      <c r="C99" s="178">
        <v>1</v>
      </c>
      <c r="D99" s="174" t="s">
        <v>54</v>
      </c>
      <c r="E99" s="167"/>
      <c r="F99" s="167"/>
    </row>
    <row r="100" spans="2:6" s="37" customFormat="1">
      <c r="B100" s="82" t="s">
        <v>431</v>
      </c>
      <c r="C100" s="178">
        <v>1</v>
      </c>
      <c r="D100" s="174" t="s">
        <v>54</v>
      </c>
      <c r="E100" s="167"/>
      <c r="F100" s="167"/>
    </row>
    <row r="101" spans="2:6" s="37" customFormat="1">
      <c r="B101" s="82" t="s">
        <v>432</v>
      </c>
      <c r="C101" s="177">
        <v>4.0000000000000002E-4</v>
      </c>
      <c r="D101" s="174" t="s">
        <v>54</v>
      </c>
      <c r="E101" s="167"/>
      <c r="F101" s="167"/>
    </row>
    <row r="102" spans="2:6" s="37" customFormat="1">
      <c r="B102" s="82" t="s">
        <v>69</v>
      </c>
      <c r="C102" s="178">
        <v>0.25</v>
      </c>
      <c r="D102" s="174" t="s">
        <v>54</v>
      </c>
      <c r="E102" s="167"/>
      <c r="F102" s="167"/>
    </row>
    <row r="103" spans="2:6" s="37" customFormat="1">
      <c r="B103" s="82" t="s">
        <v>70</v>
      </c>
      <c r="C103" s="178">
        <v>0.25</v>
      </c>
      <c r="D103" s="174" t="s">
        <v>54</v>
      </c>
      <c r="E103" s="167"/>
      <c r="F103" s="167"/>
    </row>
    <row r="104" spans="2:6" s="37" customFormat="1">
      <c r="B104" s="82" t="s">
        <v>71</v>
      </c>
      <c r="C104" s="178">
        <v>1</v>
      </c>
      <c r="D104" s="174" t="s">
        <v>54</v>
      </c>
      <c r="E104" s="167"/>
      <c r="F104" s="167"/>
    </row>
    <row r="105" spans="2:6" s="37" customFormat="1">
      <c r="B105" s="82" t="s">
        <v>72</v>
      </c>
      <c r="C105" s="178">
        <v>0.25</v>
      </c>
      <c r="D105" s="174" t="s">
        <v>54</v>
      </c>
      <c r="E105" s="167"/>
      <c r="F105" s="167"/>
    </row>
    <row r="106" spans="2:6" s="37" customFormat="1">
      <c r="B106" s="82" t="s">
        <v>73</v>
      </c>
      <c r="C106" s="178">
        <v>0.5</v>
      </c>
      <c r="D106" s="174" t="s">
        <v>54</v>
      </c>
      <c r="E106" s="167"/>
      <c r="F106" s="167"/>
    </row>
    <row r="107" spans="2:6" s="37" customFormat="1">
      <c r="B107" s="82" t="s">
        <v>74</v>
      </c>
      <c r="C107" s="178">
        <v>1</v>
      </c>
      <c r="D107" s="174" t="s">
        <v>54</v>
      </c>
      <c r="E107" s="167"/>
      <c r="F107" s="167"/>
    </row>
    <row r="108" spans="2:6" s="37" customFormat="1">
      <c r="B108" s="82" t="s">
        <v>433</v>
      </c>
      <c r="C108" s="178">
        <v>0.01</v>
      </c>
      <c r="D108" s="174" t="s">
        <v>54</v>
      </c>
      <c r="E108" s="167"/>
      <c r="F108" s="167"/>
    </row>
    <row r="109" spans="2:6" s="37" customFormat="1"/>
    <row r="110" spans="2:6" s="37" customFormat="1" ht="13">
      <c r="B110" s="152" t="s">
        <v>282</v>
      </c>
    </row>
    <row r="111" spans="2:6" s="37" customFormat="1" ht="14.5">
      <c r="B111" s="82" t="s">
        <v>115</v>
      </c>
      <c r="C111" s="179">
        <v>200</v>
      </c>
      <c r="D111" s="174" t="s">
        <v>116</v>
      </c>
      <c r="E111" s="186"/>
      <c r="F111" s="167"/>
    </row>
    <row r="112" spans="2:6" s="37" customFormat="1" ht="14.5">
      <c r="B112" s="82" t="s">
        <v>449</v>
      </c>
      <c r="C112" s="180">
        <v>10</v>
      </c>
      <c r="D112" s="174" t="s">
        <v>91</v>
      </c>
      <c r="E112" s="186"/>
      <c r="F112" s="167"/>
    </row>
    <row r="113" spans="3:3" s="37" customFormat="1">
      <c r="C113" s="187"/>
    </row>
    <row r="114" spans="3:3" s="37" customFormat="1">
      <c r="C114" s="187"/>
    </row>
    <row r="115" spans="3:3" s="37" customFormat="1">
      <c r="C115" s="187"/>
    </row>
    <row r="116" spans="3:3" s="37" customFormat="1">
      <c r="C116" s="187"/>
    </row>
    <row r="117" spans="3:3" s="37" customFormat="1">
      <c r="C117" s="187"/>
    </row>
    <row r="118" spans="3:3" s="37" customFormat="1">
      <c r="C118" s="187"/>
    </row>
    <row r="119" spans="3:3" s="37" customFormat="1">
      <c r="C119" s="187"/>
    </row>
    <row r="120" spans="3:3" s="37" customFormat="1">
      <c r="C120" s="187"/>
    </row>
    <row r="121" spans="3:3" s="37" customFormat="1">
      <c r="C121" s="187"/>
    </row>
    <row r="122" spans="3:3" s="37" customFormat="1">
      <c r="C122" s="187"/>
    </row>
    <row r="123" spans="3:3" s="37" customFormat="1">
      <c r="C123" s="187"/>
    </row>
    <row r="124" spans="3:3" s="37" customFormat="1">
      <c r="C124" s="187"/>
    </row>
    <row r="125" spans="3:3" s="37" customFormat="1">
      <c r="C125" s="187"/>
    </row>
    <row r="144" spans="3:3" s="37" customFormat="1">
      <c r="C144" s="188"/>
    </row>
  </sheetData>
  <sheetProtection algorithmName="SHA-512" hashValue="QPj8XZDlJhhh6shR8VSAtQrT6H6Nb+Ti8QxR2OTbtoHMZ5hJ0wsQAzDMtjMxARDeZc57cwdYemBeGz02ug27/Q==" saltValue="UtJoacpqMNjeg8TXOx4K5w==" spinCount="100000" sheet="1" objects="1" scenarios="1" autoFilter="0"/>
  <phoneticPr fontId="7" type="noConversion"/>
  <hyperlinks>
    <hyperlink ref="B5" location="Information" display="Return to Information" xr:uid="{97700582-0781-48FC-A250-41F6ADB723BA}"/>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1D7B-914B-404F-B6DE-73D497CF0E86}">
  <sheetPr codeName="Sheet8">
    <tabColor theme="5" tint="0.39997558519241921"/>
  </sheetPr>
  <dimension ref="B2:P93"/>
  <sheetViews>
    <sheetView showGridLines="0" zoomScaleNormal="100" workbookViewId="0">
      <pane ySplit="5" topLeftCell="A6" activePane="bottomLeft" state="frozen"/>
      <selection pane="bottomLeft"/>
    </sheetView>
  </sheetViews>
  <sheetFormatPr defaultColWidth="8.7265625" defaultRowHeight="12.5"/>
  <cols>
    <col min="1" max="1" width="3.81640625" style="3" customWidth="1"/>
    <col min="2" max="2" width="39" style="3" customWidth="1"/>
    <col min="3" max="3" width="11.81640625" style="3" customWidth="1"/>
    <col min="4" max="4" width="10.54296875" style="3" customWidth="1"/>
    <col min="5" max="16384" width="8.7265625" style="3"/>
  </cols>
  <sheetData>
    <row r="2" spans="2:16" s="3" customFormat="1" ht="13">
      <c r="B2" s="11" t="str">
        <f>Project_Name</f>
        <v>South Australia Oil and Gas Financial Assurance Calculator</v>
      </c>
    </row>
    <row r="4" spans="2:16" s="3" customFormat="1" ht="13">
      <c r="B4" s="108" t="s">
        <v>18</v>
      </c>
      <c r="C4" s="36"/>
      <c r="D4" s="36"/>
      <c r="E4" s="36"/>
      <c r="F4" s="36"/>
      <c r="G4" s="36"/>
      <c r="H4" s="36"/>
      <c r="I4" s="36"/>
      <c r="J4" s="36"/>
      <c r="K4" s="36"/>
      <c r="L4" s="36"/>
      <c r="M4" s="36"/>
      <c r="N4" s="36"/>
      <c r="O4" s="36"/>
      <c r="P4" s="36"/>
    </row>
    <row r="5" spans="2:16" s="3" customFormat="1">
      <c r="B5" s="107" t="s">
        <v>24</v>
      </c>
    </row>
    <row r="6" spans="2:16" s="3" customFormat="1">
      <c r="B6" s="189"/>
    </row>
    <row r="7" spans="2:16" s="3" customFormat="1" ht="13">
      <c r="B7" s="152" t="s">
        <v>370</v>
      </c>
    </row>
    <row r="8" spans="2:16" s="3" customFormat="1" ht="13">
      <c r="B8" s="190" t="s">
        <v>48</v>
      </c>
      <c r="C8" s="191" t="s">
        <v>39</v>
      </c>
      <c r="D8" s="191" t="s">
        <v>42</v>
      </c>
    </row>
    <row r="9" spans="2:16" s="3" customFormat="1" ht="13">
      <c r="B9" s="82" t="s">
        <v>371</v>
      </c>
      <c r="C9" s="192" t="s">
        <v>372</v>
      </c>
      <c r="D9" s="192">
        <v>8</v>
      </c>
      <c r="E9" s="193" t="s">
        <v>659</v>
      </c>
    </row>
    <row r="10" spans="2:16" s="3" customFormat="1" ht="13">
      <c r="B10" s="82" t="s">
        <v>373</v>
      </c>
      <c r="C10" s="192" t="s">
        <v>140</v>
      </c>
      <c r="D10" s="194">
        <v>3</v>
      </c>
      <c r="E10" s="193"/>
    </row>
    <row r="11" spans="2:16" s="3" customFormat="1" ht="13">
      <c r="B11" s="82" t="s">
        <v>447</v>
      </c>
      <c r="C11" s="192" t="s">
        <v>448</v>
      </c>
      <c r="D11" s="194">
        <v>0.5</v>
      </c>
      <c r="E11" s="193"/>
    </row>
    <row r="13" spans="2:16" s="3" customFormat="1" ht="13">
      <c r="B13" s="13" t="s">
        <v>587</v>
      </c>
    </row>
    <row r="14" spans="2:16" s="3" customFormat="1">
      <c r="B14" s="172" t="s">
        <v>597</v>
      </c>
      <c r="C14" s="195">
        <v>100</v>
      </c>
      <c r="D14" s="3" t="s">
        <v>339</v>
      </c>
    </row>
    <row r="16" spans="2:16" s="3" customFormat="1" ht="13">
      <c r="B16" s="13" t="s">
        <v>150</v>
      </c>
    </row>
    <row r="17" spans="2:16" s="3" customFormat="1">
      <c r="B17" s="172" t="s">
        <v>313</v>
      </c>
      <c r="C17" s="195">
        <v>100</v>
      </c>
      <c r="D17" s="3" t="s">
        <v>314</v>
      </c>
    </row>
    <row r="18" spans="2:16" s="3" customFormat="1">
      <c r="B18" s="172" t="s">
        <v>315</v>
      </c>
      <c r="C18" s="195">
        <v>66.666666666666671</v>
      </c>
      <c r="D18" s="3" t="s">
        <v>314</v>
      </c>
    </row>
    <row r="19" spans="2:16" s="3" customFormat="1">
      <c r="B19" s="172" t="s">
        <v>316</v>
      </c>
      <c r="C19" s="195">
        <v>50</v>
      </c>
      <c r="D19" s="3" t="s">
        <v>314</v>
      </c>
    </row>
    <row r="21" spans="2:16" s="3" customFormat="1" ht="13">
      <c r="B21" s="13" t="s">
        <v>317</v>
      </c>
    </row>
    <row r="22" spans="2:16" s="3" customFormat="1">
      <c r="B22" s="172" t="s">
        <v>318</v>
      </c>
      <c r="C22" s="196">
        <v>1</v>
      </c>
      <c r="D22" s="196">
        <v>1</v>
      </c>
      <c r="E22" s="196">
        <v>1</v>
      </c>
      <c r="F22" s="196">
        <v>1</v>
      </c>
      <c r="G22" s="196">
        <v>1</v>
      </c>
      <c r="H22" s="196">
        <v>1</v>
      </c>
      <c r="I22" s="196">
        <v>1</v>
      </c>
      <c r="J22" s="196">
        <v>2</v>
      </c>
      <c r="K22" s="196">
        <v>2</v>
      </c>
      <c r="L22" s="196">
        <v>3</v>
      </c>
      <c r="M22" s="196">
        <v>3</v>
      </c>
      <c r="N22" s="196">
        <v>3</v>
      </c>
      <c r="O22" s="196">
        <v>4</v>
      </c>
    </row>
    <row r="23" spans="2:16" s="3" customFormat="1">
      <c r="B23" s="172" t="s">
        <v>319</v>
      </c>
      <c r="C23" s="196">
        <v>20</v>
      </c>
      <c r="D23" s="196">
        <v>50</v>
      </c>
      <c r="E23" s="196">
        <v>75</v>
      </c>
      <c r="F23" s="196">
        <v>100</v>
      </c>
      <c r="G23" s="196">
        <v>125</v>
      </c>
      <c r="H23" s="196">
        <v>150</v>
      </c>
      <c r="I23" s="196">
        <v>200</v>
      </c>
      <c r="J23" s="196">
        <v>250</v>
      </c>
      <c r="K23" s="196">
        <v>300</v>
      </c>
      <c r="L23" s="196">
        <v>350</v>
      </c>
      <c r="M23" s="196">
        <v>400</v>
      </c>
      <c r="N23" s="196">
        <v>450</v>
      </c>
      <c r="O23" s="196">
        <v>500</v>
      </c>
    </row>
    <row r="24" spans="2:16" s="3" customFormat="1">
      <c r="B24" s="172" t="s">
        <v>320</v>
      </c>
      <c r="C24" s="197">
        <v>430</v>
      </c>
      <c r="D24" s="197">
        <v>195.75052015680001</v>
      </c>
      <c r="E24" s="197">
        <v>150.30843512039999</v>
      </c>
      <c r="F24" s="197">
        <v>104.86635008399999</v>
      </c>
      <c r="G24" s="197" t="s">
        <v>321</v>
      </c>
      <c r="H24" s="197" t="s">
        <v>321</v>
      </c>
      <c r="I24" s="197" t="s">
        <v>321</v>
      </c>
      <c r="J24" s="197" t="s">
        <v>321</v>
      </c>
      <c r="K24" s="197" t="s">
        <v>321</v>
      </c>
      <c r="L24" s="197" t="s">
        <v>321</v>
      </c>
      <c r="M24" s="197" t="s">
        <v>321</v>
      </c>
      <c r="N24" s="197" t="s">
        <v>321</v>
      </c>
      <c r="O24" s="197" t="s">
        <v>321</v>
      </c>
    </row>
    <row r="25" spans="2:16" s="3" customFormat="1">
      <c r="B25" s="172" t="s">
        <v>322</v>
      </c>
      <c r="C25" s="197">
        <v>582.59083380000004</v>
      </c>
      <c r="D25" s="197">
        <v>349.55450028000001</v>
      </c>
      <c r="E25" s="197">
        <v>262.16587521000002</v>
      </c>
      <c r="F25" s="197">
        <v>174.77725014000001</v>
      </c>
      <c r="G25" s="197" t="s">
        <v>321</v>
      </c>
      <c r="H25" s="197" t="s">
        <v>321</v>
      </c>
      <c r="I25" s="197" t="s">
        <v>321</v>
      </c>
      <c r="J25" s="197" t="s">
        <v>321</v>
      </c>
      <c r="K25" s="197" t="s">
        <v>321</v>
      </c>
      <c r="L25" s="197" t="s">
        <v>321</v>
      </c>
      <c r="M25" s="197" t="s">
        <v>321</v>
      </c>
      <c r="N25" s="197" t="s">
        <v>321</v>
      </c>
      <c r="O25" s="197" t="s">
        <v>321</v>
      </c>
    </row>
    <row r="26" spans="2:16" s="3" customFormat="1">
      <c r="B26" s="172" t="str">
        <f>Dozer_D8R</f>
        <v>D8R Dozer</v>
      </c>
      <c r="C26" s="197">
        <v>815.62716732000013</v>
      </c>
      <c r="D26" s="197">
        <v>442.76903368799998</v>
      </c>
      <c r="E26" s="197">
        <v>317.51200442099997</v>
      </c>
      <c r="F26" s="197">
        <v>192.25497515399999</v>
      </c>
      <c r="G26" s="197">
        <v>130.50034677120001</v>
      </c>
      <c r="H26" s="197">
        <v>97.098472300000012</v>
      </c>
      <c r="I26" s="197">
        <v>69.910900056000003</v>
      </c>
      <c r="J26" s="197" t="s">
        <v>321</v>
      </c>
      <c r="K26" s="197" t="s">
        <v>321</v>
      </c>
      <c r="L26" s="197" t="s">
        <v>321</v>
      </c>
      <c r="M26" s="197" t="s">
        <v>321</v>
      </c>
      <c r="N26" s="197" t="s">
        <v>321</v>
      </c>
      <c r="O26" s="197" t="s">
        <v>321</v>
      </c>
    </row>
    <row r="27" spans="2:16" s="3" customFormat="1">
      <c r="B27" s="172" t="s">
        <v>323</v>
      </c>
      <c r="C27" s="197">
        <v>1165.1816676000001</v>
      </c>
      <c r="D27" s="197">
        <v>652.5017338560001</v>
      </c>
      <c r="E27" s="197">
        <v>483.5503920540001</v>
      </c>
      <c r="F27" s="197">
        <v>314.59905025200004</v>
      </c>
      <c r="G27" s="197">
        <v>223.71488017920001</v>
      </c>
      <c r="H27" s="197">
        <v>194.19694460000002</v>
      </c>
      <c r="I27" s="197">
        <v>139.82180011200001</v>
      </c>
      <c r="J27" s="197">
        <v>298.86909773940005</v>
      </c>
      <c r="K27" s="197">
        <v>201.34339216128001</v>
      </c>
      <c r="L27" s="197">
        <v>190.15764815232001</v>
      </c>
      <c r="M27" s="197">
        <v>178.97190414336001</v>
      </c>
      <c r="N27" s="197">
        <v>167.78616013440001</v>
      </c>
      <c r="O27" s="197" t="s">
        <v>321</v>
      </c>
    </row>
    <row r="28" spans="2:16" s="3" customFormat="1">
      <c r="B28" s="172" t="s">
        <v>324</v>
      </c>
      <c r="C28" s="197">
        <v>1631.2543346400003</v>
      </c>
      <c r="D28" s="197">
        <v>885.53806737599996</v>
      </c>
      <c r="E28" s="197">
        <v>661.2405963629999</v>
      </c>
      <c r="F28" s="197">
        <v>436.94312534999995</v>
      </c>
      <c r="G28" s="197">
        <v>372.85813363200003</v>
      </c>
      <c r="H28" s="197">
        <v>318.48298914400004</v>
      </c>
      <c r="I28" s="197">
        <v>244.68815019600004</v>
      </c>
      <c r="J28" s="197">
        <v>415.09596908249995</v>
      </c>
      <c r="K28" s="197">
        <v>393.24881281499995</v>
      </c>
      <c r="L28" s="197">
        <v>371.40165654749995</v>
      </c>
      <c r="M28" s="197">
        <v>349.55450027999996</v>
      </c>
      <c r="N28" s="197">
        <v>327.70734401249996</v>
      </c>
      <c r="O28" s="197">
        <v>354.21522695039999</v>
      </c>
    </row>
    <row r="29" spans="2:16" s="3" customFormat="1">
      <c r="B29" s="172" t="s">
        <v>325</v>
      </c>
      <c r="C29" s="197">
        <v>2796.4360022400001</v>
      </c>
      <c r="D29" s="197">
        <v>1398.2180011200001</v>
      </c>
      <c r="E29" s="197">
        <v>1048.6635008400001</v>
      </c>
      <c r="F29" s="197">
        <v>699.10900056000003</v>
      </c>
      <c r="G29" s="197">
        <v>559.28720044800002</v>
      </c>
      <c r="H29" s="197">
        <v>466.07266704</v>
      </c>
      <c r="I29" s="197">
        <v>349.55450028000001</v>
      </c>
      <c r="J29" s="197">
        <v>664.15355053199994</v>
      </c>
      <c r="K29" s="197">
        <v>629.19810050400008</v>
      </c>
      <c r="L29" s="197">
        <v>594.24265047599999</v>
      </c>
      <c r="M29" s="197">
        <v>559.28720044800002</v>
      </c>
      <c r="N29" s="197">
        <v>524.33175042000005</v>
      </c>
      <c r="O29" s="197">
        <v>531.32284042560002</v>
      </c>
    </row>
    <row r="31" spans="2:16" s="3" customFormat="1" ht="50">
      <c r="B31" s="10" t="s">
        <v>650</v>
      </c>
      <c r="C31" s="198" t="str" cm="1">
        <f t="array" ref="C31:P31">TRANSPOSE(Dozer_lengths_L)</f>
        <v>&lt;= 20m push</v>
      </c>
      <c r="D31" s="198" t="str">
        <v>&gt; 20m to &lt;= 50m push</v>
      </c>
      <c r="E31" s="198" t="str">
        <v>&gt; 50m to &lt;= 75m push</v>
      </c>
      <c r="F31" s="198" t="str">
        <v>&gt; 75m to &lt;= 100m push</v>
      </c>
      <c r="G31" s="198" t="str">
        <v>&gt; 100m to &lt;= 125m push</v>
      </c>
      <c r="H31" s="198" t="str">
        <v>&gt; 125m to &lt;= 150m push</v>
      </c>
      <c r="I31" s="198" t="str">
        <v>&gt; 150m to &lt;= 200m push</v>
      </c>
      <c r="J31" s="198" t="str">
        <v>&gt; 200m to &lt;= 250m push</v>
      </c>
      <c r="K31" s="198" t="str">
        <v>&gt; 250m to &lt;= 300m push</v>
      </c>
      <c r="L31" s="198" t="str">
        <v>&gt; 300m to &lt;= 350m push</v>
      </c>
      <c r="M31" s="198" t="str">
        <v>&gt; 350m to &lt;= 400m push</v>
      </c>
      <c r="N31" s="198" t="str">
        <v>&gt; 400m to &lt;= 450m push</v>
      </c>
      <c r="O31" s="198" t="str">
        <v>&gt; 450m to &lt;= 500m push</v>
      </c>
      <c r="P31" s="198" t="str">
        <v>&gt; 500m push</v>
      </c>
    </row>
    <row r="32" spans="2:16" s="3" customFormat="1">
      <c r="B32" s="172" t="s">
        <v>320</v>
      </c>
      <c r="C32" s="197">
        <f t="shared" ref="C32:C37" si="0">IF(C24="Too small","Too small",C24)</f>
        <v>430</v>
      </c>
      <c r="D32" s="197">
        <f t="shared" ref="D32:D37" si="1">IF(C24="Too small","Too small",AVERAGE(C24:D24))</f>
        <v>312.8752600784</v>
      </c>
      <c r="E32" s="197">
        <f t="shared" ref="E32:O32" si="2">IF(D24="Too small","Too small",AVERAGE(D24:E24))</f>
        <v>173.02947763859999</v>
      </c>
      <c r="F32" s="197">
        <f t="shared" si="2"/>
        <v>127.5873926022</v>
      </c>
      <c r="G32" s="197">
        <f t="shared" ref="G32:G37" si="3">IF(F24="Too small","Too small",AVERAGE(F24:G24))</f>
        <v>104.86635008399999</v>
      </c>
      <c r="H32" s="197" t="str">
        <f t="shared" si="2"/>
        <v>Too small</v>
      </c>
      <c r="I32" s="197" t="str">
        <f t="shared" si="2"/>
        <v>Too small</v>
      </c>
      <c r="J32" s="197" t="str">
        <f t="shared" si="2"/>
        <v>Too small</v>
      </c>
      <c r="K32" s="197" t="str">
        <f t="shared" si="2"/>
        <v>Too small</v>
      </c>
      <c r="L32" s="197" t="str">
        <f t="shared" si="2"/>
        <v>Too small</v>
      </c>
      <c r="M32" s="197" t="str">
        <f t="shared" si="2"/>
        <v>Too small</v>
      </c>
      <c r="N32" s="197" t="str">
        <f t="shared" si="2"/>
        <v>Too small</v>
      </c>
      <c r="O32" s="197" t="str">
        <f t="shared" si="2"/>
        <v>Too small</v>
      </c>
      <c r="P32" s="197" t="str">
        <f t="shared" ref="P32:P37" si="4">IF(O24="Too small","Too small",O24)</f>
        <v>Too small</v>
      </c>
    </row>
    <row r="33" spans="2:16" s="3" customFormat="1">
      <c r="B33" s="172" t="s">
        <v>322</v>
      </c>
      <c r="C33" s="197">
        <f t="shared" si="0"/>
        <v>582.59083380000004</v>
      </c>
      <c r="D33" s="197">
        <f t="shared" si="1"/>
        <v>466.07266704000006</v>
      </c>
      <c r="E33" s="197">
        <f t="shared" ref="E33:F37" si="5">IF(D25="Too small","Too small",AVERAGE(D25:E25))</f>
        <v>305.86018774500002</v>
      </c>
      <c r="F33" s="197">
        <f t="shared" si="5"/>
        <v>218.47156267500003</v>
      </c>
      <c r="G33" s="197">
        <f t="shared" si="3"/>
        <v>174.77725014000001</v>
      </c>
      <c r="H33" s="197" t="str">
        <f t="shared" ref="H33:O37" si="6">IF(G25="Too small","Too small",AVERAGE(G25:H25))</f>
        <v>Too small</v>
      </c>
      <c r="I33" s="197" t="str">
        <f t="shared" si="6"/>
        <v>Too small</v>
      </c>
      <c r="J33" s="197" t="str">
        <f t="shared" si="6"/>
        <v>Too small</v>
      </c>
      <c r="K33" s="197" t="str">
        <f t="shared" si="6"/>
        <v>Too small</v>
      </c>
      <c r="L33" s="197" t="str">
        <f t="shared" si="6"/>
        <v>Too small</v>
      </c>
      <c r="M33" s="197" t="str">
        <f t="shared" si="6"/>
        <v>Too small</v>
      </c>
      <c r="N33" s="197" t="str">
        <f t="shared" si="6"/>
        <v>Too small</v>
      </c>
      <c r="O33" s="197" t="str">
        <f t="shared" si="6"/>
        <v>Too small</v>
      </c>
      <c r="P33" s="197" t="str">
        <f t="shared" si="4"/>
        <v>Too small</v>
      </c>
    </row>
    <row r="34" spans="2:16" s="3" customFormat="1">
      <c r="B34" s="172" t="s">
        <v>326</v>
      </c>
      <c r="C34" s="197">
        <f t="shared" si="0"/>
        <v>815.62716732000013</v>
      </c>
      <c r="D34" s="197">
        <f t="shared" si="1"/>
        <v>629.19810050400008</v>
      </c>
      <c r="E34" s="197">
        <f t="shared" si="5"/>
        <v>380.14051905449998</v>
      </c>
      <c r="F34" s="197">
        <f t="shared" si="5"/>
        <v>254.88348978749997</v>
      </c>
      <c r="G34" s="197">
        <f t="shared" si="3"/>
        <v>161.3776609626</v>
      </c>
      <c r="H34" s="197">
        <f t="shared" si="6"/>
        <v>113.79940953560001</v>
      </c>
      <c r="I34" s="197">
        <f t="shared" si="6"/>
        <v>83.504686178000014</v>
      </c>
      <c r="J34" s="197">
        <f t="shared" si="6"/>
        <v>69.910900056000003</v>
      </c>
      <c r="K34" s="197" t="str">
        <f t="shared" si="6"/>
        <v>Too small</v>
      </c>
      <c r="L34" s="197" t="str">
        <f t="shared" si="6"/>
        <v>Too small</v>
      </c>
      <c r="M34" s="197" t="str">
        <f t="shared" si="6"/>
        <v>Too small</v>
      </c>
      <c r="N34" s="197" t="str">
        <f t="shared" si="6"/>
        <v>Too small</v>
      </c>
      <c r="O34" s="197" t="str">
        <f t="shared" si="6"/>
        <v>Too small</v>
      </c>
      <c r="P34" s="197" t="str">
        <f t="shared" si="4"/>
        <v>Too small</v>
      </c>
    </row>
    <row r="35" spans="2:16" s="3" customFormat="1">
      <c r="B35" s="172" t="s">
        <v>323</v>
      </c>
      <c r="C35" s="197">
        <f t="shared" si="0"/>
        <v>1165.1816676000001</v>
      </c>
      <c r="D35" s="197">
        <f t="shared" si="1"/>
        <v>908.84170072800009</v>
      </c>
      <c r="E35" s="197">
        <f t="shared" si="5"/>
        <v>568.02606295500004</v>
      </c>
      <c r="F35" s="197">
        <f t="shared" si="5"/>
        <v>399.07472115300004</v>
      </c>
      <c r="G35" s="197">
        <f t="shared" si="3"/>
        <v>269.15696521560005</v>
      </c>
      <c r="H35" s="197">
        <f t="shared" si="6"/>
        <v>208.95591238960003</v>
      </c>
      <c r="I35" s="197">
        <f t="shared" si="6"/>
        <v>167.00937235600003</v>
      </c>
      <c r="J35" s="197">
        <f t="shared" si="6"/>
        <v>219.34544892570003</v>
      </c>
      <c r="K35" s="197">
        <f t="shared" si="6"/>
        <v>250.10624495034003</v>
      </c>
      <c r="L35" s="197">
        <f t="shared" si="6"/>
        <v>195.75052015680001</v>
      </c>
      <c r="M35" s="197">
        <f t="shared" si="6"/>
        <v>184.56477614784001</v>
      </c>
      <c r="N35" s="197">
        <f t="shared" si="6"/>
        <v>173.37903213888001</v>
      </c>
      <c r="O35" s="197">
        <f t="shared" si="6"/>
        <v>167.78616013440001</v>
      </c>
      <c r="P35" s="197" t="str">
        <f t="shared" si="4"/>
        <v>Too small</v>
      </c>
    </row>
    <row r="36" spans="2:16" s="3" customFormat="1">
      <c r="B36" s="172" t="s">
        <v>324</v>
      </c>
      <c r="C36" s="197">
        <f t="shared" si="0"/>
        <v>1631.2543346400003</v>
      </c>
      <c r="D36" s="197">
        <f t="shared" si="1"/>
        <v>1258.3962010080002</v>
      </c>
      <c r="E36" s="197">
        <f t="shared" si="5"/>
        <v>773.38933186949998</v>
      </c>
      <c r="F36" s="197">
        <f t="shared" si="5"/>
        <v>549.09186085649992</v>
      </c>
      <c r="G36" s="197">
        <f t="shared" si="3"/>
        <v>404.90062949100002</v>
      </c>
      <c r="H36" s="197">
        <f t="shared" si="6"/>
        <v>345.67056138800001</v>
      </c>
      <c r="I36" s="197">
        <f t="shared" si="6"/>
        <v>281.58556967000004</v>
      </c>
      <c r="J36" s="197">
        <f t="shared" si="6"/>
        <v>329.89205963924996</v>
      </c>
      <c r="K36" s="197">
        <f t="shared" si="6"/>
        <v>404.17239094874992</v>
      </c>
      <c r="L36" s="197">
        <f t="shared" si="6"/>
        <v>382.32523468124998</v>
      </c>
      <c r="M36" s="197">
        <f t="shared" si="6"/>
        <v>360.47807841374993</v>
      </c>
      <c r="N36" s="197">
        <f t="shared" si="6"/>
        <v>338.63092214624999</v>
      </c>
      <c r="O36" s="197">
        <f t="shared" si="6"/>
        <v>340.96128548144998</v>
      </c>
      <c r="P36" s="197">
        <f t="shared" si="4"/>
        <v>354.21522695039999</v>
      </c>
    </row>
    <row r="37" spans="2:16" s="3" customFormat="1">
      <c r="B37" s="172" t="s">
        <v>325</v>
      </c>
      <c r="C37" s="197">
        <f t="shared" si="0"/>
        <v>2796.4360022400001</v>
      </c>
      <c r="D37" s="197">
        <f t="shared" si="1"/>
        <v>2097.3270016800002</v>
      </c>
      <c r="E37" s="197">
        <f t="shared" si="5"/>
        <v>1223.4407509800001</v>
      </c>
      <c r="F37" s="197">
        <f t="shared" si="5"/>
        <v>873.88625070000012</v>
      </c>
      <c r="G37" s="197">
        <f t="shared" si="3"/>
        <v>629.19810050399997</v>
      </c>
      <c r="H37" s="197">
        <f t="shared" si="6"/>
        <v>512.67993374399998</v>
      </c>
      <c r="I37" s="197">
        <f t="shared" si="6"/>
        <v>407.81358366000001</v>
      </c>
      <c r="J37" s="197">
        <f t="shared" si="6"/>
        <v>506.85402540600001</v>
      </c>
      <c r="K37" s="197">
        <f t="shared" si="6"/>
        <v>646.67582551800001</v>
      </c>
      <c r="L37" s="197">
        <f t="shared" si="6"/>
        <v>611.72037549000004</v>
      </c>
      <c r="M37" s="197">
        <f t="shared" si="6"/>
        <v>576.76492546200006</v>
      </c>
      <c r="N37" s="197">
        <f t="shared" si="6"/>
        <v>541.80947543399998</v>
      </c>
      <c r="O37" s="197">
        <f t="shared" si="6"/>
        <v>527.82729542280003</v>
      </c>
      <c r="P37" s="197">
        <f t="shared" si="4"/>
        <v>531.32284042560002</v>
      </c>
    </row>
    <row r="39" spans="2:16" s="3" customFormat="1" ht="13">
      <c r="B39" s="13" t="s">
        <v>667</v>
      </c>
    </row>
    <row r="40" spans="2:16" s="3" customFormat="1">
      <c r="B40" s="172" t="s">
        <v>333</v>
      </c>
      <c r="C40" s="199">
        <v>500</v>
      </c>
      <c r="D40" s="3" t="s">
        <v>334</v>
      </c>
    </row>
    <row r="41" spans="2:16" s="37" customFormat="1">
      <c r="B41" s="148" t="s">
        <v>661</v>
      </c>
      <c r="C41" s="199">
        <v>500</v>
      </c>
      <c r="D41" s="3" t="s">
        <v>334</v>
      </c>
    </row>
    <row r="42" spans="2:16" s="3" customFormat="1">
      <c r="B42" s="172" t="s">
        <v>335</v>
      </c>
      <c r="C42" s="199">
        <v>144</v>
      </c>
      <c r="D42" s="3" t="s">
        <v>336</v>
      </c>
    </row>
    <row r="43" spans="2:16" s="3" customFormat="1">
      <c r="B43" s="172" t="s">
        <v>337</v>
      </c>
      <c r="C43" s="199">
        <v>60</v>
      </c>
      <c r="D43" s="3" t="s">
        <v>336</v>
      </c>
    </row>
    <row r="44" spans="2:16" s="3" customFormat="1">
      <c r="B44" s="172" t="s">
        <v>662</v>
      </c>
      <c r="C44" s="199">
        <v>500</v>
      </c>
      <c r="D44" s="3" t="s">
        <v>334</v>
      </c>
    </row>
    <row r="45" spans="2:16" s="3" customFormat="1">
      <c r="B45" s="172" t="s">
        <v>338</v>
      </c>
      <c r="C45" s="199">
        <v>50</v>
      </c>
      <c r="D45" s="3" t="s">
        <v>339</v>
      </c>
      <c r="E45" s="3" t="s">
        <v>340</v>
      </c>
    </row>
    <row r="46" spans="2:16" s="3" customFormat="1">
      <c r="B46" s="172" t="s">
        <v>341</v>
      </c>
      <c r="C46" s="199">
        <v>5000</v>
      </c>
      <c r="D46" s="3" t="s">
        <v>336</v>
      </c>
    </row>
    <row r="47" spans="2:16" s="3" customFormat="1">
      <c r="B47" s="172" t="s">
        <v>342</v>
      </c>
      <c r="C47" s="199">
        <v>150</v>
      </c>
      <c r="D47" s="3" t="s">
        <v>336</v>
      </c>
    </row>
    <row r="48" spans="2:16" s="37" customFormat="1">
      <c r="B48" s="148" t="s">
        <v>660</v>
      </c>
      <c r="C48" s="199">
        <v>500</v>
      </c>
      <c r="D48" s="3" t="s">
        <v>339</v>
      </c>
    </row>
    <row r="49" spans="2:6" s="37" customFormat="1">
      <c r="B49" s="148" t="s">
        <v>663</v>
      </c>
      <c r="C49" s="199">
        <v>500</v>
      </c>
      <c r="D49" s="3" t="s">
        <v>339</v>
      </c>
    </row>
    <row r="50" spans="2:6" s="37" customFormat="1">
      <c r="B50" s="148" t="s">
        <v>666</v>
      </c>
      <c r="C50" s="199">
        <v>48</v>
      </c>
      <c r="D50" s="3" t="s">
        <v>314</v>
      </c>
    </row>
    <row r="51" spans="2:6" s="37" customFormat="1">
      <c r="B51" s="148" t="s">
        <v>664</v>
      </c>
      <c r="C51" s="199">
        <v>350</v>
      </c>
      <c r="D51" s="3" t="s">
        <v>339</v>
      </c>
    </row>
    <row r="52" spans="2:6" s="37" customFormat="1">
      <c r="B52" s="148" t="s">
        <v>665</v>
      </c>
      <c r="C52" s="199">
        <v>500</v>
      </c>
      <c r="D52" s="3" t="s">
        <v>339</v>
      </c>
    </row>
    <row r="53" spans="2:6" s="37" customFormat="1">
      <c r="B53" s="148" t="s">
        <v>450</v>
      </c>
      <c r="C53" s="199">
        <v>25</v>
      </c>
      <c r="D53" s="3" t="s">
        <v>336</v>
      </c>
      <c r="E53" s="37" t="s">
        <v>451</v>
      </c>
    </row>
    <row r="55" spans="2:6" s="3" customFormat="1" ht="13">
      <c r="B55" s="13" t="s">
        <v>343</v>
      </c>
    </row>
    <row r="56" spans="2:6" s="3" customFormat="1" ht="25">
      <c r="B56" s="8" t="s">
        <v>48</v>
      </c>
      <c r="C56" s="200" t="str">
        <f>Grader_12M</f>
        <v>Grader 12M</v>
      </c>
      <c r="D56" s="200" t="str">
        <f>Grader_14M</f>
        <v>Grader 14M</v>
      </c>
      <c r="E56" s="3" t="s">
        <v>209</v>
      </c>
    </row>
    <row r="57" spans="2:6" s="3" customFormat="1">
      <c r="B57" s="172" t="s">
        <v>344</v>
      </c>
      <c r="C57" s="195">
        <v>5</v>
      </c>
      <c r="D57" s="195">
        <v>5</v>
      </c>
      <c r="E57" s="195">
        <v>5</v>
      </c>
      <c r="F57" s="3" t="s">
        <v>327</v>
      </c>
    </row>
    <row r="58" spans="2:6" s="3" customFormat="1">
      <c r="B58" s="172" t="s">
        <v>345</v>
      </c>
      <c r="C58" s="195">
        <v>3.17</v>
      </c>
      <c r="D58" s="195">
        <v>3.17</v>
      </c>
      <c r="E58" s="195">
        <v>3.5</v>
      </c>
      <c r="F58" s="3" t="s">
        <v>90</v>
      </c>
    </row>
    <row r="59" spans="2:6" s="3" customFormat="1">
      <c r="B59" s="172" t="s">
        <v>346</v>
      </c>
      <c r="C59" s="195">
        <v>0.6</v>
      </c>
      <c r="D59" s="195">
        <v>0.6</v>
      </c>
      <c r="E59" s="195">
        <v>0.7</v>
      </c>
      <c r="F59" s="3" t="s">
        <v>90</v>
      </c>
    </row>
    <row r="60" spans="2:6" s="3" customFormat="1">
      <c r="B60" s="172" t="s">
        <v>347</v>
      </c>
      <c r="C60" s="201">
        <v>0.85</v>
      </c>
      <c r="D60" s="201">
        <v>0.85</v>
      </c>
      <c r="E60" s="201">
        <v>0.85</v>
      </c>
      <c r="F60" s="3" t="s">
        <v>348</v>
      </c>
    </row>
    <row r="61" spans="2:6" s="3" customFormat="1" ht="13">
      <c r="B61" s="172" t="s">
        <v>18</v>
      </c>
      <c r="C61" s="202">
        <f>C57*Metres_in_kilometres*(C58-C59)*C60</f>
        <v>10922.5</v>
      </c>
      <c r="D61" s="202">
        <f>D57*Metres_in_kilometres*(D58-D59)*D60</f>
        <v>10922.5</v>
      </c>
      <c r="E61" s="202">
        <v>11900</v>
      </c>
      <c r="F61" s="3" t="s">
        <v>336</v>
      </c>
    </row>
    <row r="62" spans="2:6" s="3" customFormat="1" ht="13">
      <c r="B62" s="172" t="s">
        <v>18</v>
      </c>
      <c r="C62" s="203">
        <f>C61/Square_metres_in_hectare</f>
        <v>1.0922499999999999</v>
      </c>
      <c r="D62" s="203">
        <f>D61/Square_metres_in_hectare</f>
        <v>1.0922499999999999</v>
      </c>
      <c r="E62" s="203">
        <f>E61/Square_metres_in_hectare</f>
        <v>1.19</v>
      </c>
      <c r="F62" s="3" t="s">
        <v>349</v>
      </c>
    </row>
    <row r="63" spans="2:6" s="3" customFormat="1" ht="13">
      <c r="B63" s="172" t="s">
        <v>18</v>
      </c>
      <c r="C63" s="203">
        <f>1/C62</f>
        <v>0.91554131380178538</v>
      </c>
      <c r="D63" s="203">
        <f t="shared" ref="D63:E63" si="7">1/D62</f>
        <v>0.91554131380178538</v>
      </c>
      <c r="E63" s="203">
        <f t="shared" si="7"/>
        <v>0.84033613445378152</v>
      </c>
      <c r="F63" s="3" t="s">
        <v>332</v>
      </c>
    </row>
    <row r="65" spans="2:6" s="3" customFormat="1" ht="13">
      <c r="B65" s="13" t="s">
        <v>350</v>
      </c>
    </row>
    <row r="66" spans="2:6" s="3" customFormat="1" ht="11.5" customHeight="1">
      <c r="B66" s="8" t="s">
        <v>48</v>
      </c>
      <c r="C66" s="3" t="str">
        <f>Grader_12M</f>
        <v>Grader 12M</v>
      </c>
      <c r="D66" s="3" t="str">
        <f>Grader_14M</f>
        <v>Grader 14M</v>
      </c>
      <c r="E66" s="3" t="s">
        <v>209</v>
      </c>
    </row>
    <row r="67" spans="2:6" s="3" customFormat="1">
      <c r="B67" s="172" t="s">
        <v>351</v>
      </c>
      <c r="C67" s="195">
        <v>4.0999999999999996</v>
      </c>
      <c r="D67" s="195">
        <v>4.0999999999999996</v>
      </c>
      <c r="E67" s="195">
        <v>4.0999999999999996</v>
      </c>
      <c r="F67" s="3" t="s">
        <v>327</v>
      </c>
    </row>
    <row r="68" spans="2:6" s="3" customFormat="1">
      <c r="B68" s="172" t="s">
        <v>648</v>
      </c>
      <c r="C68" s="195">
        <v>2.31</v>
      </c>
      <c r="D68" s="195">
        <v>2.5950000000000002</v>
      </c>
      <c r="E68" s="195">
        <v>2.98</v>
      </c>
      <c r="F68" s="3" t="s">
        <v>90</v>
      </c>
    </row>
    <row r="69" spans="2:6" s="3" customFormat="1">
      <c r="B69" s="172" t="s">
        <v>328</v>
      </c>
      <c r="C69" s="197">
        <v>100</v>
      </c>
      <c r="D69" s="197">
        <v>100</v>
      </c>
      <c r="E69" s="197">
        <v>100</v>
      </c>
      <c r="F69" s="3" t="s">
        <v>90</v>
      </c>
    </row>
    <row r="70" spans="2:6" s="3" customFormat="1">
      <c r="B70" s="172" t="s">
        <v>649</v>
      </c>
      <c r="C70" s="197">
        <f>Square_metres_in_hectare/C69</f>
        <v>100</v>
      </c>
      <c r="D70" s="197">
        <f>Square_metres_in_hectare/D69</f>
        <v>100</v>
      </c>
      <c r="E70" s="197">
        <f>Square_metres_in_hectare/E69</f>
        <v>100</v>
      </c>
      <c r="F70" s="3" t="s">
        <v>90</v>
      </c>
    </row>
    <row r="71" spans="2:6" s="3" customFormat="1">
      <c r="B71" s="172" t="s">
        <v>329</v>
      </c>
      <c r="C71" s="195">
        <v>0.26700000000000002</v>
      </c>
      <c r="D71" s="195">
        <v>0.40400000000000003</v>
      </c>
      <c r="E71" s="195">
        <v>0.45200000000000001</v>
      </c>
      <c r="F71" s="3" t="s">
        <v>90</v>
      </c>
    </row>
    <row r="72" spans="2:6" s="3" customFormat="1">
      <c r="B72" s="172" t="s">
        <v>330</v>
      </c>
      <c r="C72" s="197">
        <f>C69*C68*C71</f>
        <v>61.677000000000007</v>
      </c>
      <c r="D72" s="197">
        <f t="shared" ref="D72:E72" si="8">D69*D68*D71</f>
        <v>104.83800000000001</v>
      </c>
      <c r="E72" s="197">
        <f t="shared" si="8"/>
        <v>134.696</v>
      </c>
      <c r="F72" s="3" t="s">
        <v>91</v>
      </c>
    </row>
    <row r="73" spans="2:6" s="3" customFormat="1">
      <c r="B73" s="172" t="s">
        <v>352</v>
      </c>
      <c r="C73" s="197">
        <f>C70/C68</f>
        <v>43.290043290043286</v>
      </c>
      <c r="D73" s="197">
        <f t="shared" ref="D73:E73" si="9">D70/D68</f>
        <v>38.535645472061653</v>
      </c>
      <c r="E73" s="197">
        <f t="shared" si="9"/>
        <v>33.557046979865774</v>
      </c>
      <c r="F73" s="3" t="s">
        <v>331</v>
      </c>
    </row>
    <row r="74" spans="2:6" s="3" customFormat="1" ht="13">
      <c r="B74" s="172" t="s">
        <v>18</v>
      </c>
      <c r="C74" s="203">
        <f>C73*C69/(C67*Metres_in_kilometres)</f>
        <v>1.0558547143912997</v>
      </c>
      <c r="D74" s="203">
        <f>D73*D69/(D67*Metres_in_kilometres)</f>
        <v>0.93989379200150369</v>
      </c>
      <c r="E74" s="203">
        <f>E73*E69/(E67*Metres_in_kilometres)</f>
        <v>0.81846456048453098</v>
      </c>
      <c r="F74" s="3" t="s">
        <v>332</v>
      </c>
    </row>
    <row r="75" spans="2:6" s="3" customFormat="1" ht="13">
      <c r="B75" s="172" t="s">
        <v>18</v>
      </c>
      <c r="C75" s="203">
        <f>1/C74</f>
        <v>0.94710000000000005</v>
      </c>
      <c r="D75" s="203">
        <f t="shared" ref="D75:E75" si="10">1/D74</f>
        <v>1.0639500000000002</v>
      </c>
      <c r="E75" s="203">
        <f t="shared" si="10"/>
        <v>1.2218</v>
      </c>
      <c r="F75" s="3" t="s">
        <v>349</v>
      </c>
    </row>
    <row r="77" spans="2:6" s="3" customFormat="1" ht="13">
      <c r="B77" s="13" t="s">
        <v>652</v>
      </c>
    </row>
    <row r="78" spans="2:6" s="3" customFormat="1">
      <c r="B78" s="172" t="s">
        <v>353</v>
      </c>
      <c r="C78" s="199">
        <v>80</v>
      </c>
      <c r="D78" s="3" t="s">
        <v>327</v>
      </c>
    </row>
    <row r="79" spans="2:6" s="3" customFormat="1">
      <c r="B79" s="172" t="s">
        <v>354</v>
      </c>
      <c r="C79" s="199">
        <v>90</v>
      </c>
      <c r="D79" s="3" t="s">
        <v>327</v>
      </c>
    </row>
    <row r="80" spans="2:6" s="3" customFormat="1">
      <c r="B80" s="172" t="s">
        <v>355</v>
      </c>
      <c r="C80" s="199">
        <v>40</v>
      </c>
      <c r="D80" s="3" t="s">
        <v>327</v>
      </c>
    </row>
    <row r="81" spans="2:16" s="3" customFormat="1">
      <c r="B81" s="172" t="s">
        <v>356</v>
      </c>
      <c r="C81" s="199">
        <v>50</v>
      </c>
      <c r="D81" s="3" t="s">
        <v>327</v>
      </c>
    </row>
    <row r="82" spans="2:16" s="3" customFormat="1">
      <c r="B82" s="172" t="s">
        <v>357</v>
      </c>
      <c r="C82" s="199">
        <v>50</v>
      </c>
      <c r="D82" s="3" t="s">
        <v>91</v>
      </c>
      <c r="E82" s="3" t="s">
        <v>358</v>
      </c>
    </row>
    <row r="83" spans="2:16" s="3" customFormat="1">
      <c r="B83" s="172" t="s">
        <v>359</v>
      </c>
      <c r="C83" s="199">
        <v>24</v>
      </c>
      <c r="D83" s="3" t="s">
        <v>94</v>
      </c>
    </row>
    <row r="84" spans="2:16" s="3" customFormat="1">
      <c r="B84" s="172" t="s">
        <v>360</v>
      </c>
      <c r="C84" s="199">
        <f>Semi_tipper_max_mass/Concrete_density</f>
        <v>10</v>
      </c>
      <c r="D84" s="3" t="s">
        <v>91</v>
      </c>
    </row>
    <row r="85" spans="2:16" s="37" customFormat="1" ht="14.5">
      <c r="B85" s="148" t="s">
        <v>397</v>
      </c>
      <c r="C85" s="199">
        <v>18</v>
      </c>
      <c r="D85" s="3" t="s">
        <v>124</v>
      </c>
      <c r="G85" s="204"/>
    </row>
    <row r="86" spans="2:16" s="37" customFormat="1" ht="14.5">
      <c r="B86" s="82" t="s">
        <v>398</v>
      </c>
      <c r="C86" s="199">
        <v>20</v>
      </c>
      <c r="D86" s="3" t="s">
        <v>124</v>
      </c>
      <c r="G86" s="204"/>
    </row>
    <row r="87" spans="2:16" s="37" customFormat="1" ht="14.5">
      <c r="B87" s="148" t="s">
        <v>399</v>
      </c>
      <c r="C87" s="199">
        <v>9</v>
      </c>
      <c r="D87" s="3" t="s">
        <v>400</v>
      </c>
      <c r="G87" s="204"/>
    </row>
    <row r="88" spans="2:16" s="37" customFormat="1" ht="14.5">
      <c r="B88" s="148" t="s">
        <v>401</v>
      </c>
      <c r="C88" s="199">
        <v>10</v>
      </c>
      <c r="D88" s="3" t="s">
        <v>400</v>
      </c>
      <c r="G88" s="204"/>
    </row>
    <row r="89" spans="2:16" s="37" customFormat="1" ht="14.5">
      <c r="C89" s="205"/>
      <c r="D89" s="205"/>
      <c r="E89" s="205"/>
      <c r="F89" s="205"/>
      <c r="G89" s="204"/>
    </row>
    <row r="90" spans="2:16" s="3" customFormat="1" ht="13">
      <c r="B90" s="108"/>
      <c r="C90" s="36"/>
      <c r="D90" s="36"/>
      <c r="E90" s="36"/>
      <c r="F90" s="36"/>
      <c r="G90" s="36"/>
      <c r="H90" s="36"/>
      <c r="I90" s="36"/>
      <c r="J90" s="36"/>
      <c r="K90" s="36"/>
      <c r="L90" s="36"/>
      <c r="M90" s="36"/>
      <c r="N90" s="36"/>
      <c r="O90" s="36"/>
      <c r="P90" s="36"/>
    </row>
    <row r="92" spans="2:16" s="37" customFormat="1">
      <c r="D92" s="39"/>
    </row>
    <row r="93" spans="2:16" s="3" customFormat="1">
      <c r="G93" s="37"/>
      <c r="H93" s="37"/>
    </row>
  </sheetData>
  <sheetProtection algorithmName="SHA-512" hashValue="qrE6bR/dUfe87YkOQ8o81mQSWmqLNcRcBTBXDDfI4pm06aytTlCGw0hNuW+qLtWcZtYbJxFohZLA3l9MW05Byw==" saltValue="o618KkN0nDT/y9QtPKt2mA==" spinCount="100000" sheet="1" objects="1" scenarios="1" autoFilter="0"/>
  <phoneticPr fontId="7" type="noConversion"/>
  <hyperlinks>
    <hyperlink ref="B5" location="Information" display="Return to Information" xr:uid="{3D3A5B46-A37D-4686-8988-78F79A536F3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99C26-D7B3-4E5E-A673-BAD654406D03}">
  <sheetPr codeName="Sheet10"/>
  <dimension ref="B1:C203"/>
  <sheetViews>
    <sheetView showGridLines="0" workbookViewId="0"/>
  </sheetViews>
  <sheetFormatPr defaultColWidth="8.7265625" defaultRowHeight="12.5"/>
  <cols>
    <col min="1" max="1" width="8.7265625" style="3"/>
    <col min="2" max="2" width="101.1796875" style="3" bestFit="1" customWidth="1"/>
    <col min="3" max="16384" width="8.7265625" style="3"/>
  </cols>
  <sheetData>
    <row r="1" spans="2:2" s="3" customFormat="1" ht="13">
      <c r="B1" s="206" t="s">
        <v>452</v>
      </c>
    </row>
    <row r="2" spans="2:2" s="3" customFormat="1" ht="13">
      <c r="B2" s="11" t="str">
        <f>Project_Name</f>
        <v>South Australia Oil and Gas Financial Assurance Calculator</v>
      </c>
    </row>
    <row r="4" spans="2:2" s="3" customFormat="1" ht="13">
      <c r="B4" s="108" t="s">
        <v>453</v>
      </c>
    </row>
    <row r="6" spans="2:2" s="3" customFormat="1" ht="13">
      <c r="B6" s="13" t="s">
        <v>148</v>
      </c>
    </row>
    <row r="7" spans="2:2" s="3" customFormat="1">
      <c r="B7" s="207" t="s">
        <v>671</v>
      </c>
    </row>
    <row r="8" spans="2:2" s="3" customFormat="1">
      <c r="B8" s="207" t="s">
        <v>607</v>
      </c>
    </row>
    <row r="10" spans="2:2" s="3" customFormat="1" ht="13">
      <c r="B10" s="13" t="s">
        <v>562</v>
      </c>
    </row>
    <row r="11" spans="2:2" s="3" customFormat="1">
      <c r="B11" s="207" t="s">
        <v>563</v>
      </c>
    </row>
    <row r="12" spans="2:2" s="3" customFormat="1">
      <c r="B12" s="207" t="s">
        <v>564</v>
      </c>
    </row>
    <row r="14" spans="2:2" s="3" customFormat="1" ht="13">
      <c r="B14" s="13" t="s">
        <v>565</v>
      </c>
    </row>
    <row r="15" spans="2:2" s="3" customFormat="1">
      <c r="B15" s="207" t="s">
        <v>540</v>
      </c>
    </row>
    <row r="16" spans="2:2" s="3" customFormat="1">
      <c r="B16" s="207" t="s">
        <v>566</v>
      </c>
    </row>
    <row r="18" spans="2:3" s="209" customFormat="1" ht="13">
      <c r="B18" s="13" t="s">
        <v>454</v>
      </c>
      <c r="C18" s="208"/>
    </row>
    <row r="19" spans="2:3" s="209" customFormat="1">
      <c r="B19" s="207" t="str">
        <f>CONCATENATE("&lt;= ",C19,"m push")</f>
        <v>&lt;= 20m push</v>
      </c>
      <c r="C19" s="207">
        <v>20</v>
      </c>
    </row>
    <row r="20" spans="2:3" s="209" customFormat="1">
      <c r="B20" s="207" t="str">
        <f t="shared" ref="B20:B31" si="0">CONCATENATE("&gt; ",C19,"m to &lt;= ",C20,"m push")</f>
        <v>&gt; 20m to &lt;= 50m push</v>
      </c>
      <c r="C20" s="207">
        <v>50</v>
      </c>
    </row>
    <row r="21" spans="2:3" s="209" customFormat="1">
      <c r="B21" s="207" t="str">
        <f t="shared" si="0"/>
        <v>&gt; 50m to &lt;= 75m push</v>
      </c>
      <c r="C21" s="207">
        <v>75</v>
      </c>
    </row>
    <row r="22" spans="2:3" s="209" customFormat="1">
      <c r="B22" s="207" t="str">
        <f t="shared" si="0"/>
        <v>&gt; 75m to &lt;= 100m push</v>
      </c>
      <c r="C22" s="207">
        <v>100</v>
      </c>
    </row>
    <row r="23" spans="2:3" s="209" customFormat="1">
      <c r="B23" s="207" t="str">
        <f t="shared" si="0"/>
        <v>&gt; 100m to &lt;= 125m push</v>
      </c>
      <c r="C23" s="207">
        <v>125</v>
      </c>
    </row>
    <row r="24" spans="2:3" s="209" customFormat="1">
      <c r="B24" s="207" t="str">
        <f t="shared" si="0"/>
        <v>&gt; 125m to &lt;= 150m push</v>
      </c>
      <c r="C24" s="207">
        <v>150</v>
      </c>
    </row>
    <row r="25" spans="2:3" s="209" customFormat="1">
      <c r="B25" s="207" t="str">
        <f t="shared" si="0"/>
        <v>&gt; 150m to &lt;= 200m push</v>
      </c>
      <c r="C25" s="207">
        <f t="shared" ref="C25:C32" si="1">C24+50</f>
        <v>200</v>
      </c>
    </row>
    <row r="26" spans="2:3" s="209" customFormat="1">
      <c r="B26" s="207" t="str">
        <f t="shared" si="0"/>
        <v>&gt; 200m to &lt;= 250m push</v>
      </c>
      <c r="C26" s="207">
        <f t="shared" si="1"/>
        <v>250</v>
      </c>
    </row>
    <row r="27" spans="2:3" s="209" customFormat="1">
      <c r="B27" s="207" t="str">
        <f t="shared" si="0"/>
        <v>&gt; 250m to &lt;= 300m push</v>
      </c>
      <c r="C27" s="207">
        <f t="shared" si="1"/>
        <v>300</v>
      </c>
    </row>
    <row r="28" spans="2:3" s="209" customFormat="1">
      <c r="B28" s="207" t="str">
        <f t="shared" si="0"/>
        <v>&gt; 300m to &lt;= 350m push</v>
      </c>
      <c r="C28" s="207">
        <f t="shared" si="1"/>
        <v>350</v>
      </c>
    </row>
    <row r="29" spans="2:3" s="209" customFormat="1">
      <c r="B29" s="207" t="str">
        <f t="shared" si="0"/>
        <v>&gt; 350m to &lt;= 400m push</v>
      </c>
      <c r="C29" s="207">
        <f t="shared" si="1"/>
        <v>400</v>
      </c>
    </row>
    <row r="30" spans="2:3" s="209" customFormat="1">
      <c r="B30" s="207" t="str">
        <f t="shared" si="0"/>
        <v>&gt; 400m to &lt;= 450m push</v>
      </c>
      <c r="C30" s="207">
        <f t="shared" si="1"/>
        <v>450</v>
      </c>
    </row>
    <row r="31" spans="2:3" s="209" customFormat="1">
      <c r="B31" s="207" t="str">
        <f t="shared" si="0"/>
        <v>&gt; 450m to &lt;= 500m push</v>
      </c>
      <c r="C31" s="207">
        <f t="shared" si="1"/>
        <v>500</v>
      </c>
    </row>
    <row r="32" spans="2:3" s="209" customFormat="1">
      <c r="B32" s="207" t="str">
        <f>CONCATENATE("&gt; ",C31,"m push")</f>
        <v>&gt; 500m push</v>
      </c>
      <c r="C32" s="207">
        <f t="shared" si="1"/>
        <v>550</v>
      </c>
    </row>
    <row r="33" spans="2:2" s="209" customFormat="1"/>
    <row r="34" spans="2:2" s="3" customFormat="1" ht="13">
      <c r="B34" s="13" t="s">
        <v>152</v>
      </c>
    </row>
    <row r="35" spans="2:2" s="3" customFormat="1">
      <c r="B35" s="207" t="s">
        <v>455</v>
      </c>
    </row>
    <row r="36" spans="2:2" s="3" customFormat="1">
      <c r="B36" s="207" t="s">
        <v>456</v>
      </c>
    </row>
    <row r="37" spans="2:2" s="3" customFormat="1">
      <c r="B37" s="207" t="s">
        <v>457</v>
      </c>
    </row>
    <row r="38" spans="2:2" s="3" customFormat="1">
      <c r="B38" s="207" t="s">
        <v>458</v>
      </c>
    </row>
    <row r="39" spans="2:2" s="3" customFormat="1">
      <c r="B39" s="207" t="s">
        <v>459</v>
      </c>
    </row>
    <row r="40" spans="2:2" s="3" customFormat="1">
      <c r="B40" s="207" t="s">
        <v>460</v>
      </c>
    </row>
    <row r="41" spans="2:2" s="3" customFormat="1">
      <c r="B41" s="207" t="s">
        <v>461</v>
      </c>
    </row>
    <row r="42" spans="2:2" s="3" customFormat="1">
      <c r="B42" s="207" t="s">
        <v>462</v>
      </c>
    </row>
    <row r="43" spans="2:2" s="3" customFormat="1">
      <c r="B43" s="207" t="s">
        <v>463</v>
      </c>
    </row>
    <row r="44" spans="2:2" s="3" customFormat="1">
      <c r="B44" s="207" t="s">
        <v>464</v>
      </c>
    </row>
    <row r="45" spans="2:2" s="3" customFormat="1">
      <c r="B45" s="207" t="s">
        <v>465</v>
      </c>
    </row>
    <row r="46" spans="2:2" s="3" customFormat="1">
      <c r="B46" s="207" t="s">
        <v>466</v>
      </c>
    </row>
    <row r="47" spans="2:2" s="3" customFormat="1">
      <c r="B47" s="207" t="s">
        <v>467</v>
      </c>
    </row>
    <row r="48" spans="2:2" s="3" customFormat="1">
      <c r="B48" s="207" t="s">
        <v>468</v>
      </c>
    </row>
    <row r="49" spans="2:2" s="3" customFormat="1">
      <c r="B49" s="207" t="s">
        <v>469</v>
      </c>
    </row>
    <row r="50" spans="2:2" s="3" customFormat="1">
      <c r="B50" s="207" t="s">
        <v>470</v>
      </c>
    </row>
    <row r="51" spans="2:2" s="3" customFormat="1">
      <c r="B51" s="207" t="s">
        <v>471</v>
      </c>
    </row>
    <row r="52" spans="2:2" s="3" customFormat="1">
      <c r="B52" s="207" t="s">
        <v>472</v>
      </c>
    </row>
    <row r="53" spans="2:2" s="3" customFormat="1">
      <c r="B53" s="207" t="s">
        <v>473</v>
      </c>
    </row>
    <row r="54" spans="2:2" s="3" customFormat="1">
      <c r="B54" s="207" t="s">
        <v>474</v>
      </c>
    </row>
    <row r="55" spans="2:2" s="3" customFormat="1">
      <c r="B55" s="207" t="s">
        <v>475</v>
      </c>
    </row>
    <row r="56" spans="2:2" s="3" customFormat="1">
      <c r="B56" s="207" t="s">
        <v>476</v>
      </c>
    </row>
    <row r="58" spans="2:2" s="3" customFormat="1" ht="13">
      <c r="B58" s="13" t="s">
        <v>603</v>
      </c>
    </row>
    <row r="59" spans="2:2" s="3" customFormat="1">
      <c r="B59" s="207" t="s">
        <v>58</v>
      </c>
    </row>
    <row r="60" spans="2:2" s="3" customFormat="1">
      <c r="B60" s="207" t="s">
        <v>361</v>
      </c>
    </row>
    <row r="62" spans="2:2" s="3" customFormat="1" ht="13">
      <c r="B62" s="13" t="s">
        <v>477</v>
      </c>
    </row>
    <row r="63" spans="2:2" s="3" customFormat="1">
      <c r="B63" s="192" t="s">
        <v>83</v>
      </c>
    </row>
    <row r="64" spans="2:2" s="3" customFormat="1">
      <c r="B64" s="192" t="s">
        <v>79</v>
      </c>
    </row>
    <row r="65" spans="2:3" s="3" customFormat="1">
      <c r="B65" s="192" t="s">
        <v>81</v>
      </c>
    </row>
    <row r="66" spans="2:3" s="3" customFormat="1" ht="11.5" customHeight="1"/>
    <row r="67" spans="2:3" s="3" customFormat="1" ht="13">
      <c r="B67" s="13" t="s">
        <v>478</v>
      </c>
    </row>
    <row r="68" spans="2:3" s="3" customFormat="1">
      <c r="B68" s="207" t="s">
        <v>479</v>
      </c>
    </row>
    <row r="69" spans="2:3" s="3" customFormat="1">
      <c r="B69" s="207" t="s">
        <v>480</v>
      </c>
    </row>
    <row r="70" spans="2:3" s="3" customFormat="1">
      <c r="B70" s="207" t="s">
        <v>481</v>
      </c>
    </row>
    <row r="71" spans="2:3" s="3" customFormat="1">
      <c r="B71" s="207" t="s">
        <v>482</v>
      </c>
    </row>
    <row r="72" spans="2:3" s="3" customFormat="1">
      <c r="B72" s="207" t="s">
        <v>483</v>
      </c>
    </row>
    <row r="73" spans="2:3" s="3" customFormat="1">
      <c r="B73" s="207" t="s">
        <v>484</v>
      </c>
    </row>
    <row r="74" spans="2:3" s="3" customFormat="1">
      <c r="B74" s="207" t="s">
        <v>485</v>
      </c>
    </row>
    <row r="75" spans="2:3" s="3" customFormat="1">
      <c r="B75" s="207" t="s">
        <v>486</v>
      </c>
    </row>
    <row r="76" spans="2:3" s="3" customFormat="1">
      <c r="B76" s="207" t="s">
        <v>487</v>
      </c>
    </row>
    <row r="77" spans="2:3" s="3" customFormat="1">
      <c r="B77" s="207" t="s">
        <v>488</v>
      </c>
    </row>
    <row r="78" spans="2:3" s="3" customFormat="1">
      <c r="B78" s="207" t="s">
        <v>489</v>
      </c>
    </row>
    <row r="80" spans="2:3" s="3" customFormat="1" ht="13">
      <c r="B80" s="13" t="s">
        <v>490</v>
      </c>
      <c r="C80" s="13" t="s">
        <v>173</v>
      </c>
    </row>
    <row r="81" spans="2:3" s="3" customFormat="1">
      <c r="B81" s="207" t="s">
        <v>491</v>
      </c>
      <c r="C81" s="210">
        <v>2.5</v>
      </c>
    </row>
    <row r="82" spans="2:3" s="3" customFormat="1">
      <c r="B82" s="207" t="s">
        <v>492</v>
      </c>
      <c r="C82" s="210">
        <v>7.5</v>
      </c>
    </row>
    <row r="83" spans="2:3" s="3" customFormat="1">
      <c r="B83" s="207" t="s">
        <v>493</v>
      </c>
      <c r="C83" s="210">
        <v>12.5</v>
      </c>
    </row>
    <row r="84" spans="2:3" s="3" customFormat="1">
      <c r="B84" s="207" t="s">
        <v>494</v>
      </c>
      <c r="C84" s="210">
        <v>17.5</v>
      </c>
    </row>
    <row r="85" spans="2:3" s="3" customFormat="1">
      <c r="B85" s="207" t="s">
        <v>495</v>
      </c>
      <c r="C85" s="210">
        <v>22.5</v>
      </c>
    </row>
    <row r="86" spans="2:3" s="3" customFormat="1">
      <c r="B86" s="207" t="s">
        <v>496</v>
      </c>
      <c r="C86" s="210">
        <v>27.5</v>
      </c>
    </row>
    <row r="87" spans="2:3" s="3" customFormat="1">
      <c r="B87" s="207" t="s">
        <v>419</v>
      </c>
      <c r="C87" s="210">
        <v>32.5</v>
      </c>
    </row>
    <row r="88" spans="2:3" s="3" customFormat="1">
      <c r="B88" s="207" t="s">
        <v>497</v>
      </c>
      <c r="C88" s="210">
        <v>37.5</v>
      </c>
    </row>
    <row r="89" spans="2:3" s="3" customFormat="1">
      <c r="B89" s="207" t="s">
        <v>498</v>
      </c>
      <c r="C89" s="210">
        <v>42.5</v>
      </c>
    </row>
    <row r="90" spans="2:3" s="3" customFormat="1">
      <c r="B90" s="207" t="s">
        <v>499</v>
      </c>
      <c r="C90" s="210">
        <v>47.5</v>
      </c>
    </row>
    <row r="91" spans="2:3" s="3" customFormat="1">
      <c r="B91" s="207" t="s">
        <v>414</v>
      </c>
      <c r="C91" s="210">
        <v>55</v>
      </c>
    </row>
    <row r="92" spans="2:3" s="3" customFormat="1">
      <c r="B92" s="207" t="s">
        <v>500</v>
      </c>
      <c r="C92" s="210">
        <v>65</v>
      </c>
    </row>
    <row r="93" spans="2:3" s="3" customFormat="1">
      <c r="B93" s="207" t="s">
        <v>501</v>
      </c>
      <c r="C93" s="210">
        <v>75</v>
      </c>
    </row>
    <row r="94" spans="2:3" s="3" customFormat="1">
      <c r="B94" s="207" t="s">
        <v>502</v>
      </c>
      <c r="C94" s="210">
        <v>85</v>
      </c>
    </row>
    <row r="95" spans="2:3" s="3" customFormat="1">
      <c r="B95" s="207" t="s">
        <v>503</v>
      </c>
      <c r="C95" s="210">
        <v>95</v>
      </c>
    </row>
    <row r="96" spans="2:3" s="3" customFormat="1">
      <c r="B96" s="207" t="s">
        <v>504</v>
      </c>
      <c r="C96" s="210">
        <v>125</v>
      </c>
    </row>
    <row r="97" spans="2:3" s="3" customFormat="1">
      <c r="B97" s="207" t="s">
        <v>505</v>
      </c>
      <c r="C97" s="210">
        <v>175</v>
      </c>
    </row>
    <row r="98" spans="2:3" s="3" customFormat="1">
      <c r="B98" s="207" t="s">
        <v>506</v>
      </c>
      <c r="C98" s="210">
        <v>225</v>
      </c>
    </row>
    <row r="99" spans="2:3" s="3" customFormat="1">
      <c r="B99" s="207" t="s">
        <v>507</v>
      </c>
      <c r="C99" s="210">
        <v>250</v>
      </c>
    </row>
    <row r="101" spans="2:3" s="3" customFormat="1" ht="13">
      <c r="B101" s="13" t="s">
        <v>508</v>
      </c>
    </row>
    <row r="102" spans="2:3" s="3" customFormat="1">
      <c r="B102" s="207" t="s">
        <v>509</v>
      </c>
    </row>
    <row r="103" spans="2:3" s="3" customFormat="1">
      <c r="B103" s="207" t="s">
        <v>510</v>
      </c>
    </row>
    <row r="104" spans="2:3" s="3" customFormat="1">
      <c r="B104" s="207" t="s">
        <v>511</v>
      </c>
    </row>
    <row r="105" spans="2:3" s="3" customFormat="1">
      <c r="B105" s="207" t="s">
        <v>512</v>
      </c>
    </row>
    <row r="107" spans="2:3" s="3" customFormat="1" ht="13">
      <c r="B107" s="13" t="s">
        <v>513</v>
      </c>
    </row>
    <row r="108" spans="2:3" s="3" customFormat="1">
      <c r="B108" s="207" t="s">
        <v>82</v>
      </c>
    </row>
    <row r="109" spans="2:3" s="3" customFormat="1">
      <c r="B109" s="207" t="s">
        <v>78</v>
      </c>
    </row>
    <row r="110" spans="2:3" s="3" customFormat="1">
      <c r="B110" s="207" t="s">
        <v>80</v>
      </c>
    </row>
    <row r="112" spans="2:3" s="3" customFormat="1" ht="13">
      <c r="B112" s="13" t="s">
        <v>557</v>
      </c>
    </row>
    <row r="113" spans="2:2" s="3" customFormat="1">
      <c r="B113" s="207" t="s">
        <v>558</v>
      </c>
    </row>
    <row r="114" spans="2:2" s="3" customFormat="1">
      <c r="B114" s="207" t="s">
        <v>559</v>
      </c>
    </row>
    <row r="115" spans="2:2" s="3" customFormat="1">
      <c r="B115" s="207" t="s">
        <v>560</v>
      </c>
    </row>
    <row r="116" spans="2:2" s="3" customFormat="1">
      <c r="B116" s="207" t="s">
        <v>561</v>
      </c>
    </row>
    <row r="118" spans="2:2" s="3" customFormat="1" ht="13">
      <c r="B118" s="13" t="s">
        <v>725</v>
      </c>
    </row>
    <row r="119" spans="2:2" s="3" customFormat="1">
      <c r="B119" s="207" t="s">
        <v>571</v>
      </c>
    </row>
    <row r="120" spans="2:2" s="3" customFormat="1">
      <c r="B120" s="207" t="s">
        <v>572</v>
      </c>
    </row>
    <row r="121" spans="2:2" s="3" customFormat="1">
      <c r="B121" s="207" t="s">
        <v>573</v>
      </c>
    </row>
    <row r="122" spans="2:2" s="3" customFormat="1">
      <c r="B122" s="207" t="s">
        <v>574</v>
      </c>
    </row>
    <row r="123" spans="2:2" s="3" customFormat="1">
      <c r="B123" s="207" t="s">
        <v>575</v>
      </c>
    </row>
    <row r="124" spans="2:2" s="3" customFormat="1">
      <c r="B124" s="207" t="s">
        <v>576</v>
      </c>
    </row>
    <row r="125" spans="2:2" s="3" customFormat="1">
      <c r="B125" s="207" t="s">
        <v>577</v>
      </c>
    </row>
    <row r="126" spans="2:2" s="3" customFormat="1">
      <c r="B126" s="207" t="s">
        <v>578</v>
      </c>
    </row>
    <row r="127" spans="2:2" s="3" customFormat="1">
      <c r="B127" s="207" t="s">
        <v>579</v>
      </c>
    </row>
    <row r="129" spans="2:2" s="3" customFormat="1" ht="13">
      <c r="B129" s="13" t="s">
        <v>163</v>
      </c>
    </row>
    <row r="130" spans="2:2" s="3" customFormat="1">
      <c r="B130" s="211" t="s">
        <v>580</v>
      </c>
    </row>
    <row r="131" spans="2:2" s="3" customFormat="1">
      <c r="B131" s="211" t="s">
        <v>581</v>
      </c>
    </row>
    <row r="132" spans="2:2" s="3" customFormat="1">
      <c r="B132" s="211" t="s">
        <v>582</v>
      </c>
    </row>
    <row r="133" spans="2:2" s="3" customFormat="1">
      <c r="B133" s="211" t="s">
        <v>583</v>
      </c>
    </row>
    <row r="134" spans="2:2" s="3" customFormat="1">
      <c r="B134" s="211" t="s">
        <v>584</v>
      </c>
    </row>
    <row r="135" spans="2:2" s="3" customFormat="1">
      <c r="B135" s="211" t="s">
        <v>585</v>
      </c>
    </row>
    <row r="137" spans="2:2" s="3" customFormat="1" ht="13">
      <c r="B137" s="13" t="s">
        <v>514</v>
      </c>
    </row>
    <row r="138" spans="2:2" s="3" customFormat="1">
      <c r="B138" s="207" t="s">
        <v>515</v>
      </c>
    </row>
    <row r="139" spans="2:2" s="3" customFormat="1">
      <c r="B139" s="207" t="s">
        <v>516</v>
      </c>
    </row>
    <row r="140" spans="2:2" s="3" customFormat="1">
      <c r="B140" s="207" t="s">
        <v>517</v>
      </c>
    </row>
    <row r="141" spans="2:2" s="3" customFormat="1">
      <c r="B141" s="207" t="s">
        <v>518</v>
      </c>
    </row>
    <row r="142" spans="2:2" s="3" customFormat="1">
      <c r="B142" s="207" t="s">
        <v>519</v>
      </c>
    </row>
    <row r="144" spans="2:2" s="3" customFormat="1" ht="13">
      <c r="B144" s="13" t="s">
        <v>520</v>
      </c>
    </row>
    <row r="145" spans="2:2" s="3" customFormat="1">
      <c r="B145" s="207" t="s">
        <v>521</v>
      </c>
    </row>
    <row r="146" spans="2:2" s="3" customFormat="1">
      <c r="B146" s="207" t="s">
        <v>522</v>
      </c>
    </row>
    <row r="147" spans="2:2" s="3" customFormat="1">
      <c r="B147" s="207" t="s">
        <v>523</v>
      </c>
    </row>
    <row r="149" spans="2:2" s="3" customFormat="1" ht="13">
      <c r="B149" s="13" t="s">
        <v>524</v>
      </c>
    </row>
    <row r="150" spans="2:2" s="3" customFormat="1">
      <c r="B150" s="207" t="s">
        <v>525</v>
      </c>
    </row>
    <row r="151" spans="2:2" s="3" customFormat="1">
      <c r="B151" s="207" t="s">
        <v>526</v>
      </c>
    </row>
    <row r="152" spans="2:2" s="3" customFormat="1">
      <c r="B152" s="207" t="s">
        <v>527</v>
      </c>
    </row>
    <row r="153" spans="2:2" s="3" customFormat="1">
      <c r="B153" s="207" t="s">
        <v>528</v>
      </c>
    </row>
    <row r="155" spans="2:2" s="3" customFormat="1" ht="13">
      <c r="B155" s="13" t="s">
        <v>529</v>
      </c>
    </row>
    <row r="156" spans="2:2" s="3" customFormat="1">
      <c r="B156" s="192" t="s">
        <v>362</v>
      </c>
    </row>
    <row r="157" spans="2:2" s="3" customFormat="1">
      <c r="B157" s="192" t="s">
        <v>530</v>
      </c>
    </row>
    <row r="158" spans="2:2" s="3" customFormat="1">
      <c r="B158" s="192" t="s">
        <v>363</v>
      </c>
    </row>
    <row r="160" spans="2:2" s="3" customFormat="1" ht="13">
      <c r="B160" s="13" t="s">
        <v>531</v>
      </c>
    </row>
    <row r="161" spans="2:2" s="3" customFormat="1">
      <c r="B161" s="207" t="s">
        <v>532</v>
      </c>
    </row>
    <row r="162" spans="2:2" s="3" customFormat="1">
      <c r="B162" s="207" t="s">
        <v>533</v>
      </c>
    </row>
    <row r="163" spans="2:2" s="3" customFormat="1">
      <c r="B163" s="207" t="s">
        <v>534</v>
      </c>
    </row>
    <row r="164" spans="2:2" s="3" customFormat="1">
      <c r="B164" s="207" t="s">
        <v>535</v>
      </c>
    </row>
    <row r="165" spans="2:2" s="3" customFormat="1">
      <c r="B165" s="207" t="s">
        <v>536</v>
      </c>
    </row>
    <row r="167" spans="2:2" s="3" customFormat="1" ht="13">
      <c r="B167" s="13" t="s">
        <v>537</v>
      </c>
    </row>
    <row r="168" spans="2:2" s="3" customFormat="1">
      <c r="B168" s="207" t="s">
        <v>538</v>
      </c>
    </row>
    <row r="170" spans="2:2" s="3" customFormat="1" ht="13">
      <c r="B170" s="13" t="s">
        <v>539</v>
      </c>
    </row>
    <row r="171" spans="2:2" s="3" customFormat="1">
      <c r="B171" s="207" t="s">
        <v>540</v>
      </c>
    </row>
    <row r="172" spans="2:2" s="3" customFormat="1">
      <c r="B172" s="207" t="s">
        <v>541</v>
      </c>
    </row>
    <row r="174" spans="2:2" s="3" customFormat="1" ht="13">
      <c r="B174" s="13" t="s">
        <v>542</v>
      </c>
    </row>
    <row r="175" spans="2:2" s="3" customFormat="1">
      <c r="B175" s="207" t="s">
        <v>543</v>
      </c>
    </row>
    <row r="176" spans="2:2" s="3" customFormat="1">
      <c r="B176" s="207" t="s">
        <v>544</v>
      </c>
    </row>
    <row r="178" spans="2:3" s="3" customFormat="1" ht="13">
      <c r="B178" s="13" t="s">
        <v>545</v>
      </c>
    </row>
    <row r="179" spans="2:3" s="3" customFormat="1">
      <c r="B179" s="207" t="s">
        <v>546</v>
      </c>
    </row>
    <row r="180" spans="2:3" s="3" customFormat="1">
      <c r="B180" s="207" t="s">
        <v>547</v>
      </c>
    </row>
    <row r="181" spans="2:3" s="3" customFormat="1">
      <c r="B181" s="207" t="s">
        <v>548</v>
      </c>
    </row>
    <row r="182" spans="2:3" s="3" customFormat="1">
      <c r="B182" s="207" t="s">
        <v>549</v>
      </c>
    </row>
    <row r="183" spans="2:3" s="3" customFormat="1">
      <c r="B183" s="207" t="s">
        <v>550</v>
      </c>
    </row>
    <row r="184" spans="2:3" s="3" customFormat="1">
      <c r="B184" s="207" t="s">
        <v>551</v>
      </c>
    </row>
    <row r="186" spans="2:3" s="3" customFormat="1" ht="13">
      <c r="B186" s="13" t="s">
        <v>552</v>
      </c>
    </row>
    <row r="187" spans="2:3" s="3" customFormat="1">
      <c r="B187" s="207" t="s">
        <v>553</v>
      </c>
    </row>
    <row r="188" spans="2:3" s="3" customFormat="1">
      <c r="B188" s="207" t="s">
        <v>554</v>
      </c>
    </row>
    <row r="189" spans="2:3" s="3" customFormat="1">
      <c r="B189" s="207" t="s">
        <v>555</v>
      </c>
    </row>
    <row r="191" spans="2:3" s="3" customFormat="1" ht="13">
      <c r="B191" s="13" t="s">
        <v>556</v>
      </c>
      <c r="C191" s="212"/>
    </row>
    <row r="192" spans="2:3" s="3" customFormat="1" ht="13">
      <c r="B192" s="207" t="str">
        <f>CONCATENATE(Tank_vertical_L,", ",B187,", ",B175,", ",B161,", ",B171,", ",Single_skin_tank)</f>
        <v>Vertical tank, Steel wall, Open top, Earth base, Lined, Single skin</v>
      </c>
      <c r="C192" s="212"/>
    </row>
    <row r="193" spans="2:3" s="3" customFormat="1" ht="13">
      <c r="B193" s="207" t="str">
        <f>CONCATENATE(Tank_vertical_L,", ",B187,", ",B176,", ",B163,", ",B172,", ",Single_skin_tank)</f>
        <v>Vertical tank, Steel wall, Closed top, Steel base, Not lined, Single skin</v>
      </c>
      <c r="C193" s="212"/>
    </row>
    <row r="194" spans="2:3" s="3" customFormat="1">
      <c r="B194" s="207" t="str">
        <f>CONCATENATE(Tank_concrete_ring_L,", ",B187,", ",B175,", ",B161,", ",B171,", ",Single_skin_tank)</f>
        <v>Concrete ring tank, Steel wall, Open top, Earth base, Lined, Single skin</v>
      </c>
    </row>
    <row r="195" spans="2:3" s="3" customFormat="1">
      <c r="B195" s="207" t="str">
        <f>CONCATENATE(Tank_horizontal_L,", ",B187,", ",B176,", ",B162,", ",B172,", ",Single_skin_tank)</f>
        <v>Horizontal tank, Steel wall, Closed top, Skid base, Not lined, Single skin</v>
      </c>
    </row>
    <row r="196" spans="2:3" s="3" customFormat="1">
      <c r="B196" s="207" t="str">
        <f>CONCATENATE(Tank_panel_L,", ",B188,", ",B175,", ",B161,", ",B171,", ",Single_skin_tank)</f>
        <v>Panel tank, Concrete wall, Open top, Earth base, Lined, Single skin</v>
      </c>
    </row>
    <row r="197" spans="2:3" s="3" customFormat="1">
      <c r="B197" s="207" t="str">
        <f>CONCATENATE(Tank_rainwater_L,", ",B189,", ",B176,", ",B165,", ",B172,", ",Single_skin_tank)</f>
        <v>Rainwater tank, Plastic wall, Closed top, Plastic base, Not lined, Single skin</v>
      </c>
    </row>
    <row r="198" spans="2:3" s="3" customFormat="1">
      <c r="B198" s="207" t="str">
        <f>CONCATENATE(Tank_hopper_L,", ",B187,", ",B176,", ",B163,", ",B172,", ",Single_skin_tank)</f>
        <v>Hopper tank, Steel wall, Closed top, Steel base, Not lined, Single skin</v>
      </c>
    </row>
    <row r="199" spans="2:3" s="3" customFormat="1">
      <c r="B199" s="209"/>
    </row>
    <row r="200" spans="2:3" s="3" customFormat="1" ht="13">
      <c r="B200" s="13" t="s">
        <v>567</v>
      </c>
    </row>
    <row r="201" spans="2:3" s="3" customFormat="1">
      <c r="B201" s="207" t="s">
        <v>568</v>
      </c>
    </row>
    <row r="202" spans="2:3" s="3" customFormat="1">
      <c r="B202" s="207" t="s">
        <v>569</v>
      </c>
    </row>
    <row r="203" spans="2:3" s="3" customFormat="1">
      <c r="B203" s="207" t="s">
        <v>570</v>
      </c>
    </row>
  </sheetData>
  <sheetProtection algorithmName="SHA-512" hashValue="irI42gpFeYW5K8YzEgMv3X5ofGGX6vLOGw2mx/cJ3N4VkWa/ePHRbvsUiJ9bwbLvvDYrCnVXmmWhvquuQFuvxg==" saltValue="OD0JbHPfhnkclKBTAlPYzw==" spinCount="100000" sheet="1" objects="1" scenarios="1"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6A7B888FF612542A8FC6C9737B78FD6" ma:contentTypeVersion="14" ma:contentTypeDescription="Create a new document." ma:contentTypeScope="" ma:versionID="e22ef57c53abd2f7e474d8888be32dc8">
  <xsd:schema xmlns:xsd="http://www.w3.org/2001/XMLSchema" xmlns:xs="http://www.w3.org/2001/XMLSchema" xmlns:p="http://schemas.microsoft.com/office/2006/metadata/properties" xmlns:ns2="9048425d-5800-4620-a8df-cc3024e53cba" xmlns:ns3="af28d96c-c3b4-4d65-99e4-2d729c7617af" targetNamespace="http://schemas.microsoft.com/office/2006/metadata/properties" ma:root="true" ma:fieldsID="943891afe61fcd7f037e57ac8a97533d" ns2:_="" ns3:_="">
    <xsd:import namespace="9048425d-5800-4620-a8df-cc3024e53cba"/>
    <xsd:import namespace="af28d96c-c3b4-4d65-99e4-2d729c7617a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48425d-5800-4620-a8df-cc3024e53cb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228a5984-3648-4572-96ca-b85713c8a628}" ma:internalName="TaxCatchAll" ma:showField="CatchAllData" ma:web="9048425d-5800-4620-a8df-cc3024e53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28d96c-c3b4-4d65-99e4-2d729c7617a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e4d4a1b-c417-4278-89c5-37eaff49a232"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9048425d-5800-4620-a8df-cc3024e53cba">2H7WWT6C665R-569171364-545</_dlc_DocId>
    <_dlc_DocIdUrl xmlns="9048425d-5800-4620-a8df-cc3024e53cba">
      <Url>https://ehssupport.sharepoint.com/sites/storage/_layouts/15/DocIdRedir.aspx?ID=2H7WWT6C665R-569171364-545</Url>
      <Description>2H7WWT6C665R-569171364-545</Description>
    </_dlc_DocIdUrl>
    <TaxCatchAll xmlns="9048425d-5800-4620-a8df-cc3024e53cba" xsi:nil="true"/>
    <lcf76f155ced4ddcb4097134ff3c332f xmlns="af28d96c-c3b4-4d65-99e4-2d729c7617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01EB4A-387F-4C41-BC24-6CA044AA7B9E}">
  <ds:schemaRefs>
    <ds:schemaRef ds:uri="http://schemas.microsoft.com/sharepoint/v3/contenttype/forms"/>
  </ds:schemaRefs>
</ds:datastoreItem>
</file>

<file path=customXml/itemProps2.xml><?xml version="1.0" encoding="utf-8"?>
<ds:datastoreItem xmlns:ds="http://schemas.openxmlformats.org/officeDocument/2006/customXml" ds:itemID="{84C96539-B7D3-428D-B94D-02E42F799ADE}">
  <ds:schemaRefs>
    <ds:schemaRef ds:uri="http://schemas.microsoft.com/sharepoint/events"/>
  </ds:schemaRefs>
</ds:datastoreItem>
</file>

<file path=customXml/itemProps3.xml><?xml version="1.0" encoding="utf-8"?>
<ds:datastoreItem xmlns:ds="http://schemas.openxmlformats.org/officeDocument/2006/customXml" ds:itemID="{6C612B80-5BBD-46F8-9BE3-B748269E8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48425d-5800-4620-a8df-cc3024e53cba"/>
    <ds:schemaRef ds:uri="af28d96c-c3b4-4d65-99e4-2d729c7617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7033718-EB71-49E7-A3A2-86451763E99C}">
  <ds:schemaRefs>
    <ds:schemaRef ds:uri="http://purl.org/dc/terms/"/>
    <ds:schemaRef ds:uri="http://schemas.microsoft.com/office/2006/documentManagement/types"/>
    <ds:schemaRef ds:uri="http://schemas.openxmlformats.org/package/2006/metadata/core-properties"/>
    <ds:schemaRef ds:uri="http://www.w3.org/XML/1998/namespace"/>
    <ds:schemaRef ds:uri="af28d96c-c3b4-4d65-99e4-2d729c7617af"/>
    <ds:schemaRef ds:uri="http://purl.org/dc/elements/1.1/"/>
    <ds:schemaRef ds:uri="http://schemas.microsoft.com/office/infopath/2007/PartnerControls"/>
    <ds:schemaRef ds:uri="9048425d-5800-4620-a8df-cc3024e53cba"/>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072b9295-cb3f-462b-8aaa-a3f9988da704}" enabled="0" method="" siteId="{072b9295-cb3f-462b-8aaa-a3f9988da7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378</vt:i4>
      </vt:variant>
    </vt:vector>
  </HeadingPairs>
  <TitlesOfParts>
    <vt:vector size="387" baseType="lpstr">
      <vt:lpstr>Information</vt:lpstr>
      <vt:lpstr>User Guide</vt:lpstr>
      <vt:lpstr>Input</vt:lpstr>
      <vt:lpstr>Cost Schedule</vt:lpstr>
      <vt:lpstr>Abandon wells</vt:lpstr>
      <vt:lpstr>Rates</vt:lpstr>
      <vt:lpstr>Assumptions</vt:lpstr>
      <vt:lpstr>Productivity</vt:lpstr>
      <vt:lpstr>Lists</vt:lpstr>
      <vt:lpstr>Abandonment_camp_hire</vt:lpstr>
      <vt:lpstr>Abandonment_camp_hire_rate</vt:lpstr>
      <vt:lpstr>Abandonment_rig_and_crew_hire</vt:lpstr>
      <vt:lpstr>Abandonment_rig_and_crew_hire_rate</vt:lpstr>
      <vt:lpstr>Aboveground</vt:lpstr>
      <vt:lpstr>Accounting_Administration_Clerical_Office_Services</vt:lpstr>
      <vt:lpstr>Accounting_Administration_Clerical_Office_Services_rates</vt:lpstr>
      <vt:lpstr>Activated_carbon_buy_dispose</vt:lpstr>
      <vt:lpstr>Activated_carbon_buy_dispose_rate</vt:lpstr>
      <vt:lpstr>Air_Compressor_tools</vt:lpstr>
      <vt:lpstr>Air_Compressor_tools_rate</vt:lpstr>
      <vt:lpstr>Ameliorants_app_rate</vt:lpstr>
      <vt:lpstr>Ameliorants_names</vt:lpstr>
      <vt:lpstr>Ameliorants_soil_names_As</vt:lpstr>
      <vt:lpstr>Arid</vt:lpstr>
      <vt:lpstr>Asphalt_density</vt:lpstr>
      <vt:lpstr>Asphalt_thickness</vt:lpstr>
      <vt:lpstr>Associate_Engineer_Geologist_Scientist</vt:lpstr>
      <vt:lpstr>Associate_Engineer_Geologist_Scientist_rate</vt:lpstr>
      <vt:lpstr>Assumptions</vt:lpstr>
      <vt:lpstr>Auditor_Director</vt:lpstr>
      <vt:lpstr>Auditor_Director_rate</vt:lpstr>
      <vt:lpstr>Backhoe_420F</vt:lpstr>
      <vt:lpstr>Backhoe_420F_rate</vt:lpstr>
      <vt:lpstr>Backhoe_428F_4WD</vt:lpstr>
      <vt:lpstr>Backhoe_428F_4WD_rate</vt:lpstr>
      <vt:lpstr>Backhoe_attachments</vt:lpstr>
      <vt:lpstr>Backhoe_attachments_rate</vt:lpstr>
      <vt:lpstr>Barrier_plug_volume</vt:lpstr>
      <vt:lpstr>Borrow_Pit</vt:lpstr>
      <vt:lpstr>Buried</vt:lpstr>
      <vt:lpstr>Cementing_plant_and_crew</vt:lpstr>
      <vt:lpstr>Cementing_plant_and_crew_rate</vt:lpstr>
      <vt:lpstr>Concrete_break_rate</vt:lpstr>
      <vt:lpstr>Concrete_cost</vt:lpstr>
      <vt:lpstr>Concrete_cost_per_m3</vt:lpstr>
      <vt:lpstr>Concrete_crush_30mm</vt:lpstr>
      <vt:lpstr>Concrete_crush_50mm</vt:lpstr>
      <vt:lpstr>Concrete_crush_75mm</vt:lpstr>
      <vt:lpstr>Concrete_crushing_plant</vt:lpstr>
      <vt:lpstr>Concrete_crushing_plant_rate</vt:lpstr>
      <vt:lpstr>Concrete_cutter_portable</vt:lpstr>
      <vt:lpstr>Concrete_cutter_portable_rate</vt:lpstr>
      <vt:lpstr>Concrete_density</vt:lpstr>
      <vt:lpstr>Concrete_disposal_distance</vt:lpstr>
      <vt:lpstr>Concrete_footing_Module</vt:lpstr>
      <vt:lpstr>Concrete_Pump</vt:lpstr>
      <vt:lpstr>Concrete_Pump_rate</vt:lpstr>
      <vt:lpstr>Concrete_slab_thickness_buildings</vt:lpstr>
      <vt:lpstr>Concrete_slab_thickness_heavy</vt:lpstr>
      <vt:lpstr>Concrete_surface_cover_Parking</vt:lpstr>
      <vt:lpstr>Concrete_truck_packing_factor</vt:lpstr>
      <vt:lpstr>Construction_labour</vt:lpstr>
      <vt:lpstr>Construction_labour_rate</vt:lpstr>
      <vt:lpstr>Contingency_percentage</vt:lpstr>
      <vt:lpstr>Conventional_gas</vt:lpstr>
      <vt:lpstr>Conventional_oil</vt:lpstr>
      <vt:lpstr>Cost_Schedule</vt:lpstr>
      <vt:lpstr>Crane_120t</vt:lpstr>
      <vt:lpstr>Crane_120t_rate</vt:lpstr>
      <vt:lpstr>Crane_20t</vt:lpstr>
      <vt:lpstr>Crane_20t_rate</vt:lpstr>
      <vt:lpstr>Crane_50t</vt:lpstr>
      <vt:lpstr>Crane_50t_rate</vt:lpstr>
      <vt:lpstr>D10T_Dozer</vt:lpstr>
      <vt:lpstr>D10T_Dozer_rate</vt:lpstr>
      <vt:lpstr>Dam_clean_lined</vt:lpstr>
      <vt:lpstr>Dam_contamination</vt:lpstr>
      <vt:lpstr>dam_growthmedia_def</vt:lpstr>
      <vt:lpstr>Dam_heavy</vt:lpstr>
      <vt:lpstr>Dam_liner</vt:lpstr>
      <vt:lpstr>Dam_liner_spmass_def</vt:lpstr>
      <vt:lpstr>dam_sed_clean_def</vt:lpstr>
      <vt:lpstr>dam_sed_heavy_def</vt:lpstr>
      <vt:lpstr>Dam_Unlined</vt:lpstr>
      <vt:lpstr>Dam_Xonliner_def</vt:lpstr>
      <vt:lpstr>De_contamination_water_4L</vt:lpstr>
      <vt:lpstr>De_contamination_water_4L_rate</vt:lpstr>
      <vt:lpstr>Disposal_gate_fee_asbestos_in_soil</vt:lpstr>
      <vt:lpstr>Disposal_gate_fee_concrete_rubble_rate</vt:lpstr>
      <vt:lpstr>Disposal_gate_fee_Construction_Debris</vt:lpstr>
      <vt:lpstr>Disposal_gate_fee_Construction_Debris_rate</vt:lpstr>
      <vt:lpstr>Disposal_gate_fee_High_level_solid_waste_rate</vt:lpstr>
      <vt:lpstr>Disposal_gate_fee_Low_level_solid_waste</vt:lpstr>
      <vt:lpstr>Disposal_gate_fee_Low_level_solid_waste_rate</vt:lpstr>
      <vt:lpstr>Disposal_gate_fee_names</vt:lpstr>
      <vt:lpstr>Disposal_gate_fee_oil_rate</vt:lpstr>
      <vt:lpstr>Disposal_gate_fee_oily_water</vt:lpstr>
      <vt:lpstr>Disposal_gate_fee_oily_water_rate</vt:lpstr>
      <vt:lpstr>Disposal_gate_fee_rates</vt:lpstr>
      <vt:lpstr>Disposal_gate_fee_sludge</vt:lpstr>
      <vt:lpstr>Disposal_gate_fee_Steel</vt:lpstr>
      <vt:lpstr>Distances_short</vt:lpstr>
      <vt:lpstr>Dozer_applied</vt:lpstr>
      <vt:lpstr>Dozer_D10T</vt:lpstr>
      <vt:lpstr>Dozer_D10T_rate</vt:lpstr>
      <vt:lpstr>Dozer_D11T</vt:lpstr>
      <vt:lpstr>Dozer_D11T_rate</vt:lpstr>
      <vt:lpstr>Dozer_D6R</vt:lpstr>
      <vt:lpstr>Dozer_D6R_rate</vt:lpstr>
      <vt:lpstr>Dozer_D7R</vt:lpstr>
      <vt:lpstr>Dozer_D7R_rate</vt:lpstr>
      <vt:lpstr>Dozer_D8R</vt:lpstr>
      <vt:lpstr>Dozer_D8R_rate</vt:lpstr>
      <vt:lpstr>Dozer_D9R</vt:lpstr>
      <vt:lpstr>Dozer_D9R_rate</vt:lpstr>
      <vt:lpstr>Dozer_lengths_L</vt:lpstr>
      <vt:lpstr>Dozer_names_P</vt:lpstr>
      <vt:lpstr>Dozer_push_length_P</vt:lpstr>
      <vt:lpstr>Dozer_values_P</vt:lpstr>
      <vt:lpstr>Draftsman_Technician</vt:lpstr>
      <vt:lpstr>Draftsman_Technician_rate</vt:lpstr>
      <vt:lpstr>Drilling_engineer</vt:lpstr>
      <vt:lpstr>Drilling_engineer_rate</vt:lpstr>
      <vt:lpstr>Electrician</vt:lpstr>
      <vt:lpstr>Electrician_rate</vt:lpstr>
      <vt:lpstr>Excavator_20t</vt:lpstr>
      <vt:lpstr>Excavator_20t_grapple</vt:lpstr>
      <vt:lpstr>Excavator_20t_grapple_rate</vt:lpstr>
      <vt:lpstr>Excavator_20t_hammer</vt:lpstr>
      <vt:lpstr>Excavator_20t_hammer_rate</vt:lpstr>
      <vt:lpstr>Excavator_20t_rate</vt:lpstr>
      <vt:lpstr>Excavator_20t_shears</vt:lpstr>
      <vt:lpstr>Excavator_20t_shears_rate</vt:lpstr>
      <vt:lpstr>Excavator_40t</vt:lpstr>
      <vt:lpstr>Excavator_40t_grapple</vt:lpstr>
      <vt:lpstr>Excavator_40t_grapple_rate</vt:lpstr>
      <vt:lpstr>Excavator_40t_hammer</vt:lpstr>
      <vt:lpstr>Excavator_40t_hammer_rate</vt:lpstr>
      <vt:lpstr>Excavator_40t_rate</vt:lpstr>
      <vt:lpstr>Excavator_40t_shears</vt:lpstr>
      <vt:lpstr>Excavator_40t_shears_rate</vt:lpstr>
      <vt:lpstr>Excavator_74t</vt:lpstr>
      <vt:lpstr>Excavator_74t_grapple</vt:lpstr>
      <vt:lpstr>Excavator_74t_grapple_rate</vt:lpstr>
      <vt:lpstr>Excavator_74t_hammer</vt:lpstr>
      <vt:lpstr>Excavator_74t_hammer_rate</vt:lpstr>
      <vt:lpstr>Excavator_74t_rate</vt:lpstr>
      <vt:lpstr>Excavator_74t_shears</vt:lpstr>
      <vt:lpstr>Excavator_74t_shears_rate</vt:lpstr>
      <vt:lpstr>Excavator_90t</vt:lpstr>
      <vt:lpstr>Excavator_90t_Rate</vt:lpstr>
      <vt:lpstr>Excavator_Cut_Cladding</vt:lpstr>
      <vt:lpstr>Excavator_cut_liner</vt:lpstr>
      <vt:lpstr>Excavator_Cut_Pipe</vt:lpstr>
      <vt:lpstr>Excavator_Cut_Steel_Plate</vt:lpstr>
      <vt:lpstr>Excavator_liner_rolling</vt:lpstr>
      <vt:lpstr>Fertiliser_names</vt:lpstr>
      <vt:lpstr>Fertiliser_native</vt:lpstr>
      <vt:lpstr>Fertiliser_native_app_rate</vt:lpstr>
      <vt:lpstr>Fertiliser_native_rate</vt:lpstr>
      <vt:lpstr>Fertiliser_pasture</vt:lpstr>
      <vt:lpstr>Fertiliser_pasture_app_rate</vt:lpstr>
      <vt:lpstr>Fertiliser_pasture_rate</vt:lpstr>
      <vt:lpstr>Fertiliser_rates</vt:lpstr>
      <vt:lpstr>Flushing</vt:lpstr>
      <vt:lpstr>Foreperson</vt:lpstr>
      <vt:lpstr>Foreperson_rate</vt:lpstr>
      <vt:lpstr>Fuel_tanker</vt:lpstr>
      <vt:lpstr>Fuel_tanker_rate</vt:lpstr>
      <vt:lpstr>Gas_Axe</vt:lpstr>
      <vt:lpstr>Gas_Axe_rate</vt:lpstr>
      <vt:lpstr>Gas_processing_plant</vt:lpstr>
      <vt:lpstr>Gloves_disposables</vt:lpstr>
      <vt:lpstr>Gloves_disposables_rate</vt:lpstr>
      <vt:lpstr>Grader_12M</vt:lpstr>
      <vt:lpstr>Grader_12M_rate</vt:lpstr>
      <vt:lpstr>Grader_14M</vt:lpstr>
      <vt:lpstr>Grader_14M_rate</vt:lpstr>
      <vt:lpstr>Grader_16M</vt:lpstr>
      <vt:lpstr>Grader_16M_rate</vt:lpstr>
      <vt:lpstr>Gravel_reuse_distance</vt:lpstr>
      <vt:lpstr>Gravel_thickness</vt:lpstr>
      <vt:lpstr>Growth_media_thickness</vt:lpstr>
      <vt:lpstr>Gypsum</vt:lpstr>
      <vt:lpstr>Gypsum_rate</vt:lpstr>
      <vt:lpstr>Gypsum_soil_oneway_distance</vt:lpstr>
      <vt:lpstr>Handcast</vt:lpstr>
      <vt:lpstr>HDPE_Welder</vt:lpstr>
      <vt:lpstr>HDPE_Welder_rate</vt:lpstr>
      <vt:lpstr>Heavy_metals_analysis</vt:lpstr>
      <vt:lpstr>Heavy_metals_analysis_rate</vt:lpstr>
      <vt:lpstr>Hours_per_day</vt:lpstr>
      <vt:lpstr>Hydrated_Lime</vt:lpstr>
      <vt:lpstr>Hydrated_Lime_rate</vt:lpstr>
      <vt:lpstr>Incidental_waste_multiplier</vt:lpstr>
      <vt:lpstr>Information</vt:lpstr>
      <vt:lpstr>Input!INPUT</vt:lpstr>
      <vt:lpstr>Junior_Engineer_Geologist_Scientist</vt:lpstr>
      <vt:lpstr>Junior_Engineer_Geologist_Scientist_rate</vt:lpstr>
      <vt:lpstr>Kill_fluid</vt:lpstr>
      <vt:lpstr>Kill_fluid_management_equipment</vt:lpstr>
      <vt:lpstr>Kill_fluid_management_equipment_rate</vt:lpstr>
      <vt:lpstr>Kill_fluid_pumping_equipment</vt:lpstr>
      <vt:lpstr>Kill_fluid_pumping_equipment_rate</vt:lpstr>
      <vt:lpstr>Kill_fluid_pumping_rate</vt:lpstr>
      <vt:lpstr>Kill_fluid_rate</vt:lpstr>
      <vt:lpstr>kilograms_in_tonnes</vt:lpstr>
      <vt:lpstr>kph_to_metres_per_min</vt:lpstr>
      <vt:lpstr>Lab_heavy_metals_rate</vt:lpstr>
      <vt:lpstr>Labour_General</vt:lpstr>
      <vt:lpstr>Labour_General_rate</vt:lpstr>
      <vt:lpstr>Land_type_list</vt:lpstr>
      <vt:lpstr>Laydown</vt:lpstr>
      <vt:lpstr>Lime</vt:lpstr>
      <vt:lpstr>Lime_rate</vt:lpstr>
      <vt:lpstr>Liquid_waste_disposal_distance</vt:lpstr>
      <vt:lpstr>Litres_in_kilolitres</vt:lpstr>
      <vt:lpstr>Load_haul_names_L</vt:lpstr>
      <vt:lpstr>Loader_926M</vt:lpstr>
      <vt:lpstr>Loader_926M_rate</vt:lpstr>
      <vt:lpstr>Loader_950M</vt:lpstr>
      <vt:lpstr>Loader_950M_rate</vt:lpstr>
      <vt:lpstr>Loader_980M</vt:lpstr>
      <vt:lpstr>Loader_980M_rate</vt:lpstr>
      <vt:lpstr>Long_haul_distance_average_L</vt:lpstr>
      <vt:lpstr>Long_haul_distance_names_L</vt:lpstr>
      <vt:lpstr>Materials_list</vt:lpstr>
      <vt:lpstr>Mechanical_Fitter</vt:lpstr>
      <vt:lpstr>Mechanical_Fitter_rate</vt:lpstr>
      <vt:lpstr>Mechanical_plug</vt:lpstr>
      <vt:lpstr>Mechanical_plug_rate</vt:lpstr>
      <vt:lpstr>Metres_in_kilometres</vt:lpstr>
      <vt:lpstr>Metres_min_in_kilometres_hour</vt:lpstr>
      <vt:lpstr>Millimetres_in_metres</vt:lpstr>
      <vt:lpstr>Minutes_in_hour</vt:lpstr>
      <vt:lpstr>Native</vt:lpstr>
      <vt:lpstr>Native_seed</vt:lpstr>
      <vt:lpstr>Native_seed_rate</vt:lpstr>
      <vt:lpstr>Neutraliser_0.5ML_d</vt:lpstr>
      <vt:lpstr>Neutraliser_0.5ML_d_rate</vt:lpstr>
      <vt:lpstr>No_replace</vt:lpstr>
      <vt:lpstr>Oil_water_separator_carbon_unit</vt:lpstr>
      <vt:lpstr>Oil_water_separator_carbon_unit_rate</vt:lpstr>
      <vt:lpstr>Ongoing_monitoring_percentage</vt:lpstr>
      <vt:lpstr>PAHs_and_Phenols</vt:lpstr>
      <vt:lpstr>PAHs_and_phenols_analysis</vt:lpstr>
      <vt:lpstr>PAHs_and_phenols_analysis_rate</vt:lpstr>
      <vt:lpstr>Panhandler</vt:lpstr>
      <vt:lpstr>Panhandler_rate</vt:lpstr>
      <vt:lpstr>Pasture</vt:lpstr>
      <vt:lpstr>Pasture_seed</vt:lpstr>
      <vt:lpstr>Pasture_seed_rate</vt:lpstr>
      <vt:lpstr>Permanent_camp</vt:lpstr>
      <vt:lpstr>Petroleum_hydrocarbons_analysis</vt:lpstr>
      <vt:lpstr>Petroleum_hydrocarbons_analysis_rate</vt:lpstr>
      <vt:lpstr>Photo_ionisation_detector_day</vt:lpstr>
      <vt:lpstr>Photo_ionisation_detector_day_rate</vt:lpstr>
      <vt:lpstr>Pigging_equipment</vt:lpstr>
      <vt:lpstr>Pigging_equipment_rate</vt:lpstr>
      <vt:lpstr>Pipeline_location</vt:lpstr>
      <vt:lpstr>Pipeline_rehab_L</vt:lpstr>
      <vt:lpstr>Plant</vt:lpstr>
      <vt:lpstr>Plant_and_seed_app_rate</vt:lpstr>
      <vt:lpstr>Plant_and_seed_names_Ass</vt:lpstr>
      <vt:lpstr>Plant_and_seed_names_R</vt:lpstr>
      <vt:lpstr>Pond_gauging_equipment</vt:lpstr>
      <vt:lpstr>Pond_gauging_equipment_rate</vt:lpstr>
      <vt:lpstr>Principal_Engineer_Geologist_Scientist</vt:lpstr>
      <vt:lpstr>Principal_Engineer_Geologist_Scientist_rate</vt:lpstr>
      <vt:lpstr>Productivity</vt:lpstr>
      <vt:lpstr>Project_management_percentage</vt:lpstr>
      <vt:lpstr>Project_Manager</vt:lpstr>
      <vt:lpstr>Project_Manager_rate</vt:lpstr>
      <vt:lpstr>Project_Name</vt:lpstr>
      <vt:lpstr>Pump_6_inch</vt:lpstr>
      <vt:lpstr>Pump_6_inch_rate</vt:lpstr>
      <vt:lpstr>Pump_Truck_Tanker</vt:lpstr>
      <vt:lpstr>Pump_Truck_Tanker_rate</vt:lpstr>
      <vt:lpstr>Rate_unit</vt:lpstr>
      <vt:lpstr>Rates</vt:lpstr>
      <vt:lpstr>Rates_name</vt:lpstr>
      <vt:lpstr>Remove</vt:lpstr>
      <vt:lpstr>Remove_contam_only</vt:lpstr>
      <vt:lpstr>Replace_rock</vt:lpstr>
      <vt:lpstr>Reverse_Osmosis_1ML_d</vt:lpstr>
      <vt:lpstr>Reverse_Osmosis_1ML_d_rate</vt:lpstr>
      <vt:lpstr>Rig_mobe_rate</vt:lpstr>
      <vt:lpstr>Rig_mobilisation</vt:lpstr>
      <vt:lpstr>Rig_mobilisation_preparation</vt:lpstr>
      <vt:lpstr>Rig_mobilisation_preparation_rate</vt:lpstr>
      <vt:lpstr>Rigger</vt:lpstr>
      <vt:lpstr>Rigger_rate</vt:lpstr>
      <vt:lpstr>RO_Chemicals</vt:lpstr>
      <vt:lpstr>RO_Chemicals_rate</vt:lpstr>
      <vt:lpstr>Rock_cover_density</vt:lpstr>
      <vt:lpstr>Scrapyard_distance</vt:lpstr>
      <vt:lpstr>Seed_and_plant_rates</vt:lpstr>
      <vt:lpstr>Seeding_boreholes</vt:lpstr>
      <vt:lpstr>Seeding_boreholes_rate</vt:lpstr>
      <vt:lpstr>Semi_tipper_max_mass</vt:lpstr>
      <vt:lpstr>Semi_tipper_max_volume</vt:lpstr>
      <vt:lpstr>Semi_tipper_maximum_volume___concrete</vt:lpstr>
      <vt:lpstr>Senior_Principal_Engineer_Geologist_Scientist</vt:lpstr>
      <vt:lpstr>Senior_Principal_Engineer_Geologist_Scientist_rate</vt:lpstr>
      <vt:lpstr>Senior_Project_Manager</vt:lpstr>
      <vt:lpstr>Senior_Project_Manager_rate</vt:lpstr>
      <vt:lpstr>Single_skin_tank</vt:lpstr>
      <vt:lpstr>Site_name</vt:lpstr>
      <vt:lpstr>Sludge_density</vt:lpstr>
      <vt:lpstr>Soil_Augers</vt:lpstr>
      <vt:lpstr>Soil_Augers_rate</vt:lpstr>
      <vt:lpstr>Soil_density</vt:lpstr>
      <vt:lpstr>Soil_disposal_distance</vt:lpstr>
      <vt:lpstr>Solid_salt_distance</vt:lpstr>
      <vt:lpstr>Specific_mass_of_structural_steel_columns</vt:lpstr>
      <vt:lpstr>Specific_mass_of_structural_steel_cross_beams</vt:lpstr>
      <vt:lpstr>Square_metres_in_hectare</vt:lpstr>
      <vt:lpstr>Stand_alone_gas_compressor</vt:lpstr>
      <vt:lpstr>Steel_density</vt:lpstr>
      <vt:lpstr>Steel_roof_specific_mass</vt:lpstr>
      <vt:lpstr>Surface_cover_list</vt:lpstr>
      <vt:lpstr>Surface_replace</vt:lpstr>
      <vt:lpstr>Tank_base_type</vt:lpstr>
      <vt:lpstr>Tank_concrete_ring_L</vt:lpstr>
      <vt:lpstr>Tank_hopper_L</vt:lpstr>
      <vt:lpstr>Tank_horizontal_L</vt:lpstr>
      <vt:lpstr>Tank_liner_type</vt:lpstr>
      <vt:lpstr>Tank_panel_L</vt:lpstr>
      <vt:lpstr>Tank_rainwater_L</vt:lpstr>
      <vt:lpstr>Tank_skin_type</vt:lpstr>
      <vt:lpstr>Tank_top_type</vt:lpstr>
      <vt:lpstr>Tank_type</vt:lpstr>
      <vt:lpstr>Tank_vertical_L</vt:lpstr>
      <vt:lpstr>Tank_wall</vt:lpstr>
      <vt:lpstr>Tanker_capacity</vt:lpstr>
      <vt:lpstr>Tanker_liquids_pump_flowrate_oil</vt:lpstr>
      <vt:lpstr>Tanker_liquids_pump_flowrate_water</vt:lpstr>
      <vt:lpstr>Temporary_camp</vt:lpstr>
      <vt:lpstr>Tilling</vt:lpstr>
      <vt:lpstr>Time_one_barrier</vt:lpstr>
      <vt:lpstr>Input!Top_Inputs</vt:lpstr>
      <vt:lpstr>Top_soil</vt:lpstr>
      <vt:lpstr>Top_soil_rate</vt:lpstr>
      <vt:lpstr>TPH_TRH</vt:lpstr>
      <vt:lpstr>Tracks_List</vt:lpstr>
      <vt:lpstr>Trees_mature</vt:lpstr>
      <vt:lpstr>Trees_mature_rate</vt:lpstr>
      <vt:lpstr>Truck_740C</vt:lpstr>
      <vt:lpstr>Truck_740C_rate</vt:lpstr>
      <vt:lpstr>Truck_flatbed</vt:lpstr>
      <vt:lpstr>Truck_flatbed_rate</vt:lpstr>
      <vt:lpstr>Truck_Haul_Speed_Loaded</vt:lpstr>
      <vt:lpstr>Truck_Haul_Speed_Unloaded</vt:lpstr>
      <vt:lpstr>Truck_module_transport</vt:lpstr>
      <vt:lpstr>Truck_module_transport_rate</vt:lpstr>
      <vt:lpstr>Truck_semi_tipper</vt:lpstr>
      <vt:lpstr>Truck_semi_tipper_rate</vt:lpstr>
      <vt:lpstr>Truck_travel_speed_on_site_loaded</vt:lpstr>
      <vt:lpstr>Truck_travel_speed_on_site_unloaded</vt:lpstr>
      <vt:lpstr>Truck_vacuum_tanker</vt:lpstr>
      <vt:lpstr>Truck_vacuum_tanker_rate</vt:lpstr>
      <vt:lpstr>Truck_water_load</vt:lpstr>
      <vt:lpstr>Truck_water_tanker_19kL</vt:lpstr>
      <vt:lpstr>Truck_water_tanker_19kL_rate</vt:lpstr>
      <vt:lpstr>Truck_with_crane</vt:lpstr>
      <vt:lpstr>Truck_with_crane_rate</vt:lpstr>
      <vt:lpstr>Tube_stock</vt:lpstr>
      <vt:lpstr>Tube_stock_rate</vt:lpstr>
      <vt:lpstr>USER_GUIDE</vt:lpstr>
      <vt:lpstr>Utility</vt:lpstr>
      <vt:lpstr>Utility_rate</vt:lpstr>
      <vt:lpstr>Verification_of_barrier</vt:lpstr>
      <vt:lpstr>Verification_of_barrier_rate</vt:lpstr>
      <vt:lpstr>Waste_levy_liquid_gate_fee</vt:lpstr>
      <vt:lpstr>Waste_levy_Metropolitan_Solid_Waste</vt:lpstr>
      <vt:lpstr>Waste_levy_Metropolitan_Solid_Waste_rate</vt:lpstr>
      <vt:lpstr>Waste_levy_names</vt:lpstr>
      <vt:lpstr>Waste_levy_Non_Metropolitan_Solid_Waste</vt:lpstr>
      <vt:lpstr>Waste_levy_Non_Metropolitan_Solid_Waste_rate</vt:lpstr>
      <vt:lpstr>Waste_levy_rates</vt:lpstr>
      <vt:lpstr>Water</vt:lpstr>
      <vt:lpstr>Water_rate</vt:lpstr>
      <vt:lpstr>Water_treatment_plant</vt:lpstr>
      <vt:lpstr>Wireline_rig_and_crew_hire</vt:lpstr>
      <vt:lpstr>Wireline_rig_and_crew_hire_rate</vt:lpstr>
      <vt:lpstr>Work_Platform</vt:lpstr>
      <vt:lpstr>Work_Platform_rate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Keira Gopsill</dc:creator>
  <cp:keywords/>
  <dc:description/>
  <cp:lastModifiedBy>Kevin Simpson</cp:lastModifiedBy>
  <cp:revision/>
  <dcterms:created xsi:type="dcterms:W3CDTF">2025-07-08T00:32:05Z</dcterms:created>
  <dcterms:modified xsi:type="dcterms:W3CDTF">2026-09-15T08:20:09Z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0x01010036A7B888FF612542A8FC6C9737B78FD6</vt:lpwstr>
  </property>
  <property fmtid="{D5CDD505-2E9C-101B-9397-08002B2CF9AE}" pid="4" name="_dlc_DocIdItemGuid">
    <vt:lpwstr>0f6905b5-3456-4930-8e0c-6fe23f2cf644</vt:lpwstr>
  </property>
</Properties>
</file>